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945" windowWidth="9690" windowHeight="1170" tabRatio="817" activeTab="3"/>
  </bookViews>
  <sheets>
    <sheet name="Регион ФФПП 2025" sheetId="120" r:id="rId1"/>
    <sheet name="ИНП2025" sheetId="61" r:id="rId2"/>
    <sheet name="ИБР2025" sheetId="94" r:id="rId3"/>
    <sheet name="Район сбалансир 2025" sheetId="119" r:id="rId4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3">'Район сбалансир 2025'!$A:$B</definedName>
    <definedName name="_xlnm.Print_Titles" localSheetId="0">'Регион ФФПП 2025'!$A:$B</definedName>
    <definedName name="_xlnm.Print_Area" localSheetId="1">ИНП2025!$A$1:$U$15</definedName>
    <definedName name="_xlnm.Print_Area" localSheetId="3">'Район сбалансир 2025'!$A$1:$V$23</definedName>
    <definedName name="_xlnm.Print_Area" localSheetId="0">'Регион ФФПП 2025'!$A$1:$O$18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N18" i="119" l="1"/>
  <c r="N17" i="119"/>
  <c r="N16" i="119"/>
  <c r="L16" i="120" l="1"/>
  <c r="L13" i="120"/>
  <c r="L17" i="120"/>
  <c r="L15" i="120"/>
  <c r="L14" i="120"/>
  <c r="L12" i="120"/>
  <c r="L11" i="120"/>
  <c r="D18" i="120" l="1"/>
  <c r="F17" i="120"/>
  <c r="F13" i="120"/>
  <c r="F14" i="120"/>
  <c r="F15" i="120"/>
  <c r="F16" i="120"/>
  <c r="F12" i="120"/>
  <c r="D17" i="120" l="1"/>
  <c r="D16" i="120"/>
  <c r="D15" i="120"/>
  <c r="D14" i="120"/>
  <c r="D13" i="120"/>
  <c r="D12" i="120"/>
  <c r="C18" i="120" l="1"/>
  <c r="H17" i="120"/>
  <c r="H16" i="120"/>
  <c r="H15" i="120"/>
  <c r="H14" i="120"/>
  <c r="H13" i="120"/>
  <c r="H12" i="120"/>
  <c r="H18" i="120" s="1"/>
  <c r="A2" i="120"/>
  <c r="F18" i="120" l="1"/>
  <c r="J2" i="120" s="1"/>
  <c r="AL14" i="94" l="1"/>
  <c r="L14" i="119" l="1"/>
  <c r="A2" i="119" l="1"/>
  <c r="N12" i="119"/>
  <c r="F13" i="119"/>
  <c r="L13" i="119"/>
  <c r="F14" i="119"/>
  <c r="F15" i="119"/>
  <c r="L15" i="119"/>
  <c r="F16" i="119"/>
  <c r="L16" i="119"/>
  <c r="F17" i="119"/>
  <c r="L17" i="119"/>
  <c r="F18" i="119"/>
  <c r="L18" i="119"/>
  <c r="C19" i="119"/>
  <c r="D19" i="119"/>
  <c r="E19" i="119"/>
  <c r="G19" i="119"/>
  <c r="H19" i="119"/>
  <c r="I19" i="119"/>
  <c r="J19" i="119"/>
  <c r="K19" i="119"/>
  <c r="Q19" i="119"/>
  <c r="M16" i="119" l="1"/>
  <c r="M15" i="119"/>
  <c r="M14" i="119"/>
  <c r="L19" i="119"/>
  <c r="M13" i="119"/>
  <c r="M17" i="119"/>
  <c r="M18" i="119"/>
  <c r="F19" i="119"/>
  <c r="M19" i="119" l="1"/>
  <c r="N15" i="119" l="1"/>
  <c r="N13" i="119"/>
  <c r="R17" i="119"/>
  <c r="N14" i="119"/>
  <c r="O14" i="119" s="1"/>
  <c r="P13" i="119"/>
  <c r="O17" i="119" l="1"/>
  <c r="O18" i="119"/>
  <c r="R16" i="119"/>
  <c r="P15" i="119"/>
  <c r="P17" i="119"/>
  <c r="U17" i="119"/>
  <c r="P14" i="119"/>
  <c r="R14" i="119"/>
  <c r="O15" i="119"/>
  <c r="U15" i="119"/>
  <c r="R15" i="119"/>
  <c r="R13" i="119"/>
  <c r="P18" i="119"/>
  <c r="U14" i="119"/>
  <c r="R18" i="119"/>
  <c r="P16" i="119"/>
  <c r="O16" i="119"/>
  <c r="U18" i="119"/>
  <c r="U16" i="119"/>
  <c r="N19" i="119"/>
  <c r="U19" i="119" s="1"/>
  <c r="O13" i="119"/>
  <c r="U13" i="119"/>
  <c r="P19" i="119" l="1"/>
  <c r="O19" i="119"/>
  <c r="R19" i="119"/>
  <c r="AI10" i="94" l="1"/>
  <c r="Q15" i="61" l="1"/>
  <c r="P15" i="61"/>
  <c r="L10" i="94" l="1"/>
  <c r="L11" i="94"/>
  <c r="L12" i="94"/>
  <c r="L13" i="94"/>
  <c r="L14" i="94"/>
  <c r="L9" i="94"/>
  <c r="AN46" i="94" l="1"/>
  <c r="AJ46" i="94"/>
  <c r="AG46" i="94"/>
  <c r="AC46" i="94"/>
  <c r="C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AJ15" i="94"/>
  <c r="AG15" i="94"/>
  <c r="AF15" i="94"/>
  <c r="AE15" i="94"/>
  <c r="J15" i="94"/>
  <c r="AO14" i="94"/>
  <c r="AI14" i="94"/>
  <c r="P14" i="94"/>
  <c r="AD14" i="94"/>
  <c r="AO13" i="94"/>
  <c r="AL13" i="94"/>
  <c r="AI13" i="94"/>
  <c r="AB13" i="94"/>
  <c r="AO12" i="94"/>
  <c r="AL12" i="94"/>
  <c r="AI12" i="94"/>
  <c r="AB12" i="94"/>
  <c r="P12" i="94"/>
  <c r="E12" i="94"/>
  <c r="AD12" i="94"/>
  <c r="AO11" i="94"/>
  <c r="AL11" i="94"/>
  <c r="AI11" i="94"/>
  <c r="R11" i="94"/>
  <c r="F11" i="94"/>
  <c r="G11" i="94" s="1"/>
  <c r="I11" i="94" s="1"/>
  <c r="Z11" i="94"/>
  <c r="AO10" i="94"/>
  <c r="AL10" i="94"/>
  <c r="AB10" i="94"/>
  <c r="AO9" i="94"/>
  <c r="AL9" i="94"/>
  <c r="AI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5" i="94" l="1"/>
  <c r="V46" i="94"/>
  <c r="AO15" i="94"/>
  <c r="Z46" i="94"/>
  <c r="AI15" i="94"/>
  <c r="X46" i="94"/>
  <c r="X12" i="94"/>
  <c r="T9" i="94"/>
  <c r="X9" i="94"/>
  <c r="AB9" i="94"/>
  <c r="T14" i="94"/>
  <c r="E9" i="94"/>
  <c r="T12" i="94"/>
  <c r="E14" i="94"/>
  <c r="F10" i="94"/>
  <c r="G10" i="94" s="1"/>
  <c r="I10" i="94" s="1"/>
  <c r="N10" i="94"/>
  <c r="R10" i="94"/>
  <c r="V10" i="94"/>
  <c r="Z10" i="94"/>
  <c r="AD10" i="94"/>
  <c r="C15" i="94"/>
  <c r="F9" i="94"/>
  <c r="N9" i="94"/>
  <c r="R9" i="94"/>
  <c r="V9" i="94"/>
  <c r="Z9" i="94"/>
  <c r="AD9" i="94"/>
  <c r="AL15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AP14" i="94" l="1"/>
  <c r="AQ14" i="94" s="1"/>
  <c r="AP12" i="94"/>
  <c r="AQ12" i="94" s="1"/>
  <c r="AP11" i="94"/>
  <c r="AP13" i="94"/>
  <c r="AP10" i="94"/>
  <c r="AB15" i="94"/>
  <c r="X15" i="94"/>
  <c r="T15" i="94"/>
  <c r="P15" i="94"/>
  <c r="AD15" i="94"/>
  <c r="V15" i="94"/>
  <c r="N15" i="94"/>
  <c r="Z15" i="94"/>
  <c r="R15" i="94"/>
  <c r="F15" i="94"/>
  <c r="G9" i="94"/>
  <c r="E15" i="94"/>
  <c r="G15" i="94" l="1"/>
  <c r="I9" i="94"/>
  <c r="AP9" i="94" s="1"/>
  <c r="AQ10" i="94"/>
  <c r="AQ13" i="94"/>
  <c r="AQ11" i="94"/>
  <c r="I15" i="94" l="1"/>
  <c r="AP15" i="94" l="1"/>
  <c r="AR9" i="94" s="1"/>
  <c r="E12" i="120" s="1"/>
  <c r="AQ9" i="94"/>
  <c r="AQ15" i="94" s="1"/>
  <c r="I12" i="120" l="1"/>
  <c r="G12" i="120"/>
  <c r="AR15" i="94"/>
  <c r="E18" i="120" s="1"/>
  <c r="AR14" i="94"/>
  <c r="E17" i="120" s="1"/>
  <c r="AR12" i="94"/>
  <c r="E15" i="120" s="1"/>
  <c r="AR10" i="94"/>
  <c r="E13" i="120" s="1"/>
  <c r="AR13" i="94"/>
  <c r="E16" i="120" s="1"/>
  <c r="AR11" i="94"/>
  <c r="E14" i="120" s="1"/>
  <c r="I17" i="120" l="1"/>
  <c r="G17" i="120"/>
  <c r="I14" i="120"/>
  <c r="G14" i="120"/>
  <c r="I13" i="120"/>
  <c r="G13" i="120"/>
  <c r="I16" i="120"/>
  <c r="G16" i="120"/>
  <c r="I15" i="120"/>
  <c r="G15" i="120"/>
  <c r="J12" i="120"/>
  <c r="S10" i="61"/>
  <c r="S11" i="61"/>
  <c r="S12" i="61"/>
  <c r="S13" i="61"/>
  <c r="S14" i="61"/>
  <c r="S9" i="61"/>
  <c r="K10" i="61"/>
  <c r="K11" i="61"/>
  <c r="K12" i="61"/>
  <c r="K13" i="61"/>
  <c r="K14" i="61"/>
  <c r="K9" i="61"/>
  <c r="G18" i="120" l="1"/>
  <c r="J15" i="120"/>
  <c r="J14" i="120"/>
  <c r="I18" i="120"/>
  <c r="J16" i="120"/>
  <c r="J13" i="120"/>
  <c r="J17" i="120"/>
  <c r="I15" i="61"/>
  <c r="O9" i="61"/>
  <c r="J18" i="120" l="1"/>
  <c r="K13" i="120" s="1"/>
  <c r="K12" i="120"/>
  <c r="K15" i="120"/>
  <c r="K14" i="120"/>
  <c r="S15" i="61"/>
  <c r="O10" i="61"/>
  <c r="O11" i="61"/>
  <c r="O12" i="61"/>
  <c r="O13" i="61"/>
  <c r="O14" i="61"/>
  <c r="L15" i="61"/>
  <c r="G9" i="61"/>
  <c r="T9" i="61" s="1"/>
  <c r="G11" i="61"/>
  <c r="G12" i="61"/>
  <c r="G13" i="61"/>
  <c r="G14" i="61"/>
  <c r="C15" i="61"/>
  <c r="K17" i="120" l="1"/>
  <c r="K16" i="120"/>
  <c r="T14" i="61"/>
  <c r="T10" i="61"/>
  <c r="T12" i="61"/>
  <c r="T13" i="61"/>
  <c r="T11" i="61"/>
  <c r="O15" i="61"/>
  <c r="K18" i="120" l="1"/>
  <c r="N15" i="120"/>
  <c r="O15" i="120" s="1"/>
  <c r="N13" i="120"/>
  <c r="O13" i="120" s="1"/>
  <c r="N14" i="120"/>
  <c r="O14" i="120" s="1"/>
  <c r="K15" i="61"/>
  <c r="H15" i="61"/>
  <c r="M13" i="120" l="1"/>
  <c r="M14" i="120"/>
  <c r="M15" i="120"/>
  <c r="N16" i="120"/>
  <c r="O16" i="120" s="1"/>
  <c r="M16" i="120"/>
  <c r="L18" i="120"/>
  <c r="N12" i="120"/>
  <c r="M12" i="120"/>
  <c r="M18" i="120" s="1"/>
  <c r="M17" i="120"/>
  <c r="N17" i="120"/>
  <c r="O17" i="120" s="1"/>
  <c r="D15" i="61"/>
  <c r="G15" i="61"/>
  <c r="N18" i="120" l="1"/>
  <c r="O12" i="120"/>
  <c r="O18" i="120" s="1"/>
  <c r="T15" i="61"/>
  <c r="U12" i="61" l="1"/>
  <c r="U11" i="61"/>
  <c r="U13" i="61"/>
  <c r="U14" i="61"/>
  <c r="U9" i="61"/>
  <c r="U10" i="61"/>
  <c r="U15" i="61"/>
</calcChain>
</file>

<file path=xl/sharedStrings.xml><?xml version="1.0" encoding="utf-8"?>
<sst xmlns="http://schemas.openxmlformats.org/spreadsheetml/2006/main" count="323" uniqueCount="189">
  <si>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</si>
  <si>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</si>
  <si>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</si>
  <si>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</si>
  <si>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</si>
  <si>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</si>
  <si>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</si>
  <si>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</si>
  <si>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</si>
  <si>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</si>
  <si>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</si>
  <si>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</si>
  <si>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</si>
  <si>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</si>
  <si>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</si>
  <si>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</si>
  <si>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</si>
  <si>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</si>
  <si>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</si>
  <si>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</si>
  <si>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</si>
  <si>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</si>
  <si>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</si>
  <si>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</si>
  <si>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</si>
  <si>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5</t>
  </si>
  <si>
    <t>6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</si>
  <si>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</si>
  <si>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</si>
  <si>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</si>
  <si>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</si>
  <si>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</si>
  <si>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</si>
  <si>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</si>
  <si>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</si>
  <si>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</si>
  <si>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</si>
  <si>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</si>
  <si>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</si>
  <si>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</si>
  <si>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</si>
  <si>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</si>
  <si>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</si>
  <si>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</si>
  <si>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</si>
  <si>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</si>
  <si>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</si>
  <si>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</si>
  <si>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</si>
  <si>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</si>
  <si>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</si>
  <si>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</si>
  <si>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</si>
  <si>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</si>
  <si>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</si>
  <si>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</si>
  <si>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</si>
  <si>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</si>
  <si>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</si>
  <si>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</si>
  <si>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</si>
  <si>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</si>
  <si>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</si>
  <si>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</si>
  <si>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</si>
  <si>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</si>
  <si>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</si>
  <si>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</si>
  <si>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</si>
  <si>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</si>
  <si>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</si>
  <si>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</si>
  <si>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</si>
  <si>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</si>
  <si>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</si>
  <si>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</si>
  <si>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</si>
  <si>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</si>
  <si>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</si>
  <si>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</si>
  <si>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</si>
  <si>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</si>
  <si>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</si>
  <si>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</si>
  <si>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</si>
  <si>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</si>
  <si>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</si>
  <si>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</si>
  <si>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</si>
  <si>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</si>
  <si>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</si>
  <si>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</si>
  <si>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</si>
  <si>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</si>
  <si>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</si>
  <si>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</si>
  <si>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</si>
  <si>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</si>
  <si>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</si>
  <si>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</si>
  <si>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</si>
  <si>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</si>
  <si>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</si>
  <si>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</si>
  <si>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организацию ритуальных услуг и содержание мест захоронения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</si>
  <si>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</si>
  <si>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</si>
  <si>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</si>
  <si>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</si>
  <si>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</si>
  <si>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</si>
  <si>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</si>
  <si>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</si>
  <si>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</si>
  <si>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</si>
  <si>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</si>
  <si>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</si>
  <si>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</si>
  <si>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</si>
  <si>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</si>
  <si>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</si>
  <si>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</si>
  <si>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</si>
  <si>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</si>
  <si>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</si>
  <si>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</si>
  <si>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</si>
  <si>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</si>
  <si>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</si>
  <si>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</si>
  <si>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</si>
  <si>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</si>
  <si>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</si>
  <si>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</si>
  <si>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</si>
  <si>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</si>
  <si>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</si>
  <si>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</si>
  <si>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</si>
  <si>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</si>
  <si>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</si>
  <si>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>за счет средств бюджета муниципального района</t>
  </si>
  <si>
    <t>Вышковское г/п</t>
  </si>
  <si>
    <t>Злынковское г/п</t>
  </si>
  <si>
    <t>Денисковичское с/п</t>
  </si>
  <si>
    <t>Роговское с/п</t>
  </si>
  <si>
    <t>Спиридоновобудское с/п</t>
  </si>
  <si>
    <t>Щербиничское с/п</t>
  </si>
  <si>
    <t>Расходы на теплоснабжение, тыс.руб</t>
  </si>
  <si>
    <t xml:space="preserve">Расходы на благоустройство  </t>
  </si>
  <si>
    <t>10=1×9</t>
  </si>
  <si>
    <t>Расходы на обеспечение первичных мер пожпрной безопасности</t>
  </si>
  <si>
    <t>Расходы на участие в предупреждении и ликвидации последствий чрезвычайных ситуаций,организацию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</si>
  <si>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Расходы на  озеленение территории</t>
  </si>
  <si>
    <t>Спиридлновобудское с/п</t>
  </si>
  <si>
    <t>Социально значимые и первоочередные расходы по полномочию уличное освещение</t>
  </si>
  <si>
    <t>Социально значимые и первоочередные расходы по полномочию  (благостройство и муниципальные П.Ч.)</t>
  </si>
  <si>
    <t>плаируют</t>
  </si>
  <si>
    <t>план 2018</t>
  </si>
  <si>
    <t>всего доходов</t>
  </si>
  <si>
    <t>межбюджетные</t>
  </si>
  <si>
    <t>расходы 2019</t>
  </si>
  <si>
    <t>расходы</t>
  </si>
  <si>
    <t>7а</t>
  </si>
  <si>
    <t>2021 год</t>
  </si>
  <si>
    <t xml:space="preserve">Злынковское г/п </t>
  </si>
  <si>
    <t>10=9-4, если 4&lt;9</t>
  </si>
  <si>
    <t>Превышение оценки расходов над доходами</t>
  </si>
  <si>
    <t>Оформление права собственности на  муниципальное имущество и содержание муниципального имущества (кап. рем.)</t>
  </si>
  <si>
    <t xml:space="preserve"> иных межбюджетных трансфертов (Рз 14 03, ВР 540)] </t>
  </si>
  <si>
    <t>Иные МБТ на поддержку мер по обеспечению сбалансированности бюджетов за счет  средств бюджета муниципального района</t>
  </si>
  <si>
    <t>Численность постоянного населения на 01.01.2024, чел.</t>
  </si>
  <si>
    <t>РАСЧЕТ индекса налогового потенциала на 2025 год</t>
  </si>
  <si>
    <t>РАСЧЕТ индекса бюджетных расходов на 2025 год</t>
  </si>
  <si>
    <t>на 2025 год</t>
  </si>
  <si>
    <t>Социально значимые и первоочередные расходы по полномочию муниципальные пенсии</t>
  </si>
  <si>
    <t>Численность постоянного населения на 1.01.2024, чел.</t>
  </si>
  <si>
    <t>предоставляемых за счет субвенций из областного бюджета, на 2025год</t>
  </si>
  <si>
    <t>(Региональный фонд финансовой поддержки поселений)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</si>
  <si>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</si>
  <si>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</si>
  <si>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Расчетные доходы бюджета поселения с учетом средств Регионального фонда финансовой поддержки поселений на 1 жителя</t>
  </si>
  <si>
    <t>Сумма средств дотации на выравнивание бюджетной обеспеченности из Регионального фонда финансовой поддержки поселений</t>
  </si>
  <si>
    <t>5=4/3</t>
  </si>
  <si>
    <t>5а=4/1</t>
  </si>
  <si>
    <t>6=2/3</t>
  </si>
  <si>
    <t>Денисковичскок с/п</t>
  </si>
  <si>
    <t>Социально значимые и первоочередные расходы по полномочию  ( зарплата с начислениями)</t>
  </si>
  <si>
    <t xml:space="preserve">Доля налога в оценке ФОТ (2025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</si>
</sst>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  <font>
      <sz val="14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4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4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5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6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3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167" fontId="4" fillId="0" borderId="0" xfId="2" applyNumberFormat="1" applyAlignment="1">
      <alignment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5" fillId="0" borderId="3" xfId="2" applyNumberFormat="1" applyFont="1" applyFill="1" applyBorder="1"/>
    <xf numFmtId="168" fontId="36" fillId="2" borderId="1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172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4" fontId="24" fillId="0" borderId="1" xfId="2" applyNumberFormat="1" applyFont="1" applyFill="1" applyBorder="1" applyProtection="1">
      <protection locked="0"/>
    </xf>
    <xf numFmtId="167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9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9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2" fillId="0" borderId="1" xfId="2" applyNumberFormat="1" applyFont="1" applyFill="1" applyBorder="1"/>
    <xf numFmtId="171" fontId="5" fillId="0" borderId="1" xfId="2" applyNumberFormat="1" applyFont="1" applyFill="1" applyBorder="1"/>
    <xf numFmtId="1" fontId="46" fillId="2" borderId="1" xfId="2" applyNumberFormat="1" applyFont="1" applyFill="1" applyBorder="1"/>
    <xf numFmtId="167" fontId="46" fillId="2" borderId="1" xfId="2" applyNumberFormat="1" applyFont="1" applyFill="1" applyBorder="1"/>
    <xf numFmtId="167" fontId="46" fillId="2" borderId="1" xfId="2" applyNumberFormat="1" applyFont="1" applyFill="1" applyBorder="1" applyAlignment="1">
      <alignment horizontal="center"/>
    </xf>
    <xf numFmtId="169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/>
    <xf numFmtId="171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170" fontId="24" fillId="0" borderId="1" xfId="2" applyNumberFormat="1" applyFont="1" applyFill="1" applyBorder="1" applyProtection="1">
      <protection locked="0"/>
    </xf>
    <xf numFmtId="171" fontId="24" fillId="0" borderId="1" xfId="2" applyNumberFormat="1" applyFont="1" applyFill="1" applyBorder="1" applyProtection="1">
      <protection locked="0"/>
    </xf>
    <xf numFmtId="172" fontId="4" fillId="0" borderId="0" xfId="2" applyNumberFormat="1" applyFill="1"/>
    <xf numFmtId="0" fontId="4" fillId="0" borderId="1" xfId="2" applyBorder="1" applyAlignment="1">
      <alignment vertical="center" wrapText="1"/>
    </xf>
    <xf numFmtId="0" fontId="4" fillId="0" borderId="1" xfId="2" applyBorder="1" applyAlignment="1">
      <alignment wrapText="1"/>
    </xf>
    <xf numFmtId="172" fontId="4" fillId="0" borderId="1" xfId="2" applyNumberFormat="1" applyFill="1" applyBorder="1"/>
    <xf numFmtId="0" fontId="4" fillId="0" borderId="1" xfId="2" applyFill="1" applyBorder="1"/>
    <xf numFmtId="1" fontId="5" fillId="2" borderId="1" xfId="2" applyNumberFormat="1" applyFont="1" applyFill="1" applyBorder="1"/>
    <xf numFmtId="167" fontId="5" fillId="2" borderId="1" xfId="2" applyNumberFormat="1" applyFont="1" applyFill="1" applyBorder="1"/>
    <xf numFmtId="0" fontId="4" fillId="8" borderId="0" xfId="2" applyFont="1" applyFill="1" applyBorder="1"/>
    <xf numFmtId="171" fontId="24" fillId="4" borderId="1" xfId="2" applyNumberFormat="1" applyFont="1" applyFill="1" applyBorder="1" applyProtection="1">
      <protection locked="0"/>
    </xf>
    <xf numFmtId="0" fontId="12" fillId="0" borderId="0" xfId="2" applyFont="1" applyAlignment="1">
      <alignment horizontal="center" vertical="center" wrapText="1"/>
    </xf>
    <xf numFmtId="0" fontId="4" fillId="0" borderId="0" xfId="2" applyAlignment="1">
      <alignment horizontal="right" wrapText="1"/>
    </xf>
    <xf numFmtId="0" fontId="52" fillId="0" borderId="0" xfId="2" applyFont="1" applyFill="1" applyAlignment="1">
      <alignment horizontal="right"/>
    </xf>
    <xf numFmtId="0" fontId="4" fillId="0" borderId="0" xfId="2" applyBorder="1" applyAlignment="1">
      <alignment vertical="center" wrapText="1"/>
    </xf>
    <xf numFmtId="0" fontId="4" fillId="0" borderId="0" xfId="2" applyBorder="1" applyAlignment="1">
      <alignment wrapText="1"/>
    </xf>
    <xf numFmtId="168" fontId="4" fillId="0" borderId="0" xfId="2" applyNumberFormat="1" applyFill="1" applyBorder="1"/>
    <xf numFmtId="173" fontId="44" fillId="4" borderId="1" xfId="2" applyNumberFormat="1" applyFont="1" applyFill="1" applyBorder="1"/>
    <xf numFmtId="173" fontId="5" fillId="4" borderId="1" xfId="2" applyNumberFormat="1" applyFont="1" applyFill="1" applyBorder="1"/>
    <xf numFmtId="174" fontId="24" fillId="4" borderId="1" xfId="2" applyNumberFormat="1" applyFont="1" applyFill="1" applyBorder="1" applyProtection="1">
      <protection locked="0"/>
    </xf>
    <xf numFmtId="172" fontId="25" fillId="4" borderId="1" xfId="2" applyNumberFormat="1" applyFont="1" applyFill="1" applyBorder="1"/>
    <xf numFmtId="168" fontId="31" fillId="4" borderId="1" xfId="2" applyNumberFormat="1" applyFont="1" applyFill="1" applyBorder="1"/>
    <xf numFmtId="169" fontId="24" fillId="4" borderId="1" xfId="2" applyNumberFormat="1" applyFont="1" applyFill="1" applyBorder="1" applyProtection="1">
      <protection locked="0"/>
    </xf>
    <xf numFmtId="172" fontId="31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168" fontId="24" fillId="4" borderId="1" xfId="2" applyNumberFormat="1" applyFont="1" applyFill="1" applyBorder="1" applyProtection="1">
      <protection locked="0"/>
    </xf>
    <xf numFmtId="0" fontId="4" fillId="4" borderId="0" xfId="2" applyFont="1" applyFill="1" applyBorder="1"/>
    <xf numFmtId="0" fontId="48" fillId="4" borderId="0" xfId="2" applyFont="1" applyFill="1" applyBorder="1" applyAlignment="1">
      <alignment horizontal="center"/>
    </xf>
    <xf numFmtId="0" fontId="4" fillId="4" borderId="0" xfId="2" applyFont="1" applyFill="1"/>
    <xf numFmtId="166" fontId="24" fillId="4" borderId="0" xfId="2" applyNumberFormat="1" applyFont="1" applyFill="1" applyBorder="1" applyProtection="1">
      <protection locked="0"/>
    </xf>
    <xf numFmtId="0" fontId="34" fillId="4" borderId="12" xfId="2" applyFont="1" applyFill="1" applyBorder="1" applyAlignment="1">
      <alignment horizontal="center"/>
    </xf>
    <xf numFmtId="0" fontId="12" fillId="4" borderId="3" xfId="2" applyFont="1" applyFill="1" applyBorder="1" applyAlignment="1">
      <alignment horizontal="center"/>
    </xf>
    <xf numFmtId="167" fontId="5" fillId="4" borderId="1" xfId="2" applyNumberFormat="1" applyFont="1" applyFill="1" applyBorder="1" applyProtection="1">
      <protection locked="0"/>
    </xf>
    <xf numFmtId="169" fontId="46" fillId="4" borderId="12" xfId="2" applyNumberFormat="1" applyFont="1" applyFill="1" applyBorder="1"/>
    <xf numFmtId="167" fontId="5" fillId="5" borderId="1" xfId="2" applyNumberFormat="1" applyFont="1" applyFill="1" applyBorder="1" applyAlignment="1">
      <alignment horizontal="center"/>
    </xf>
    <xf numFmtId="0" fontId="34" fillId="5" borderId="1" xfId="2" applyFont="1" applyFill="1" applyBorder="1" applyAlignment="1">
      <alignment horizontal="center"/>
    </xf>
    <xf numFmtId="168" fontId="46" fillId="5" borderId="1" xfId="2" applyNumberFormat="1" applyFont="1" applyFill="1" applyBorder="1"/>
    <xf numFmtId="0" fontId="7" fillId="5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9" fillId="0" borderId="0" xfId="2" applyFont="1" applyFill="1" applyBorder="1" applyAlignment="1">
      <alignment horizontal="center"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167" fontId="36" fillId="2" borderId="1" xfId="2" applyNumberFormat="1" applyFont="1" applyFill="1" applyBorder="1"/>
    <xf numFmtId="167" fontId="24" fillId="4" borderId="1" xfId="2" applyNumberFormat="1" applyFont="1" applyFill="1" applyBorder="1" applyAlignment="1">
      <alignment horizontal="right" wrapText="1"/>
    </xf>
    <xf numFmtId="10" fontId="24" fillId="4" borderId="1" xfId="2" applyNumberFormat="1" applyFont="1" applyFill="1" applyBorder="1" applyAlignment="1">
      <alignment wrapText="1"/>
    </xf>
    <xf numFmtId="9" fontId="24" fillId="4" borderId="1" xfId="2" applyNumberFormat="1" applyFont="1" applyFill="1" applyBorder="1" applyAlignment="1">
      <alignment wrapText="1"/>
    </xf>
    <xf numFmtId="167" fontId="24" fillId="4" borderId="1" xfId="2" applyNumberFormat="1" applyFont="1" applyFill="1" applyBorder="1" applyAlignment="1">
      <alignment wrapText="1"/>
    </xf>
    <xf numFmtId="167" fontId="30" fillId="4" borderId="1" xfId="2" applyNumberFormat="1" applyFont="1" applyFill="1" applyBorder="1" applyAlignment="1">
      <alignment horizontal="right" wrapText="1"/>
    </xf>
    <xf numFmtId="172" fontId="33" fillId="4" borderId="3" xfId="2" applyNumberFormat="1" applyFont="1" applyFill="1" applyBorder="1"/>
    <xf numFmtId="168" fontId="26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39" fillId="5" borderId="1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849595" y="570935"/>
          <a:ext cx="1649592" cy="526121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331697" y="567888"/>
          <a:ext cx="2293845" cy="473139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ysClr val="window" lastClr="FFFFFF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058314" y="439808"/>
          <a:ext cx="1009839" cy="531742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или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0"/>
  <sheetViews>
    <sheetView zoomScaleNormal="100" zoomScaleSheetLayoutView="85" workbookViewId="0">
      <selection activeCell="J27" sqref="J27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1" customFormat="1" ht="18.75" x14ac:dyDescent="0.3">
      <c r="A1" s="78"/>
      <c r="B1" s="79"/>
      <c r="C1" s="80"/>
      <c r="K1" s="82"/>
      <c r="N1" s="187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</row>
    <row r="2" spans="1:32" s="81" customFormat="1" ht="17.649999999999999" customHeight="1" x14ac:dyDescent="0.35">
      <c r="A2" s="198">
        <f ca="1">NOW()</f>
        <v>45609.758501620374</v>
      </c>
      <c r="B2" s="198"/>
      <c r="C2" s="107" t="s">
        <v>88</v>
      </c>
      <c r="D2" s="105"/>
      <c r="E2" s="105"/>
      <c r="F2" s="105"/>
      <c r="G2" s="105"/>
      <c r="H2" s="105"/>
      <c r="I2" s="85"/>
      <c r="J2" s="86">
        <f>(F18+L2)/F18</f>
        <v>1.0328537726442117</v>
      </c>
      <c r="K2" s="85"/>
      <c r="L2" s="87">
        <v>667.2</v>
      </c>
      <c r="M2" s="88"/>
      <c r="N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2" s="81" customFormat="1" ht="17.649999999999999" customHeight="1" x14ac:dyDescent="0.35">
      <c r="A3" s="186"/>
      <c r="B3" s="186"/>
      <c r="C3" s="107" t="s">
        <v>89</v>
      </c>
      <c r="D3" s="105"/>
      <c r="E3" s="105"/>
      <c r="F3" s="105"/>
      <c r="G3" s="105"/>
      <c r="H3" s="105"/>
      <c r="I3" s="85"/>
      <c r="J3" s="84"/>
      <c r="K3" s="84"/>
      <c r="L3" s="84"/>
      <c r="M3" s="88"/>
      <c r="N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</row>
    <row r="4" spans="1:32" s="81" customFormat="1" ht="17.649999999999999" customHeight="1" x14ac:dyDescent="0.35">
      <c r="A4" s="186"/>
      <c r="B4" s="186"/>
      <c r="C4" s="107" t="s">
        <v>177</v>
      </c>
      <c r="D4" s="105"/>
      <c r="E4" s="105"/>
      <c r="F4" s="105"/>
      <c r="G4" s="105"/>
      <c r="H4" s="105"/>
      <c r="I4" s="85"/>
      <c r="J4" s="84"/>
      <c r="K4" s="84"/>
      <c r="L4" s="84"/>
      <c r="M4" s="88"/>
      <c r="N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s="81" customFormat="1" ht="17.649999999999999" customHeight="1" x14ac:dyDescent="0.35">
      <c r="A5" s="186"/>
      <c r="B5" s="186"/>
      <c r="C5" s="107" t="s">
        <v>178</v>
      </c>
      <c r="D5" s="105"/>
      <c r="E5" s="105"/>
      <c r="F5" s="105"/>
      <c r="G5" s="105"/>
      <c r="H5" s="105"/>
      <c r="I5" s="85"/>
      <c r="J5" s="84"/>
      <c r="K5" s="84"/>
      <c r="L5" s="84"/>
      <c r="M5" s="88"/>
      <c r="N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s="81" customFormat="1" ht="15.75" customHeight="1" x14ac:dyDescent="0.25">
      <c r="A6" s="2" t="s">
        <v>7</v>
      </c>
      <c r="B6" s="2"/>
      <c r="C6" s="106"/>
      <c r="D6" s="106"/>
      <c r="E6" s="106"/>
      <c r="F6" s="106"/>
      <c r="G6" s="106"/>
      <c r="H6" s="106"/>
      <c r="I6" s="89"/>
      <c r="J6" s="84"/>
      <c r="K6" s="89"/>
      <c r="L6" s="89"/>
      <c r="M6" s="89"/>
      <c r="N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</row>
    <row r="7" spans="1:32" s="81" customFormat="1" ht="13.15" customHeight="1" x14ac:dyDescent="0.2">
      <c r="A7" s="199" t="s">
        <v>1</v>
      </c>
      <c r="B7" s="199" t="s">
        <v>2</v>
      </c>
      <c r="C7" s="200" t="s">
        <v>171</v>
      </c>
      <c r="D7" s="199" t="s">
        <v>3</v>
      </c>
      <c r="E7" s="199" t="s">
        <v>19</v>
      </c>
      <c r="F7" s="199" t="s">
        <v>17</v>
      </c>
      <c r="G7" s="202" t="s">
        <v>20</v>
      </c>
      <c r="H7" s="199" t="s">
        <v>16</v>
      </c>
      <c r="I7" s="199" t="s">
        <v>91</v>
      </c>
      <c r="J7" s="199" t="s">
        <v>18</v>
      </c>
      <c r="K7" s="199" t="s">
        <v>90</v>
      </c>
      <c r="L7" s="10">
        <v>1</v>
      </c>
      <c r="M7" s="199" t="s">
        <v>179</v>
      </c>
      <c r="N7" s="202" t="s">
        <v>180</v>
      </c>
      <c r="O7" s="202" t="s">
        <v>181</v>
      </c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</row>
    <row r="8" spans="1:32" s="81" customFormat="1" ht="13.15" customHeight="1" x14ac:dyDescent="0.2">
      <c r="A8" s="199"/>
      <c r="B8" s="199"/>
      <c r="C8" s="200"/>
      <c r="D8" s="199"/>
      <c r="E8" s="199"/>
      <c r="F8" s="199"/>
      <c r="G8" s="202"/>
      <c r="H8" s="199"/>
      <c r="I8" s="199"/>
      <c r="J8" s="199"/>
      <c r="K8" s="199"/>
      <c r="L8" s="202" t="s">
        <v>182</v>
      </c>
      <c r="M8" s="199"/>
      <c r="N8" s="202"/>
      <c r="O8" s="202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 s="81" customFormat="1" ht="112.5" customHeight="1" x14ac:dyDescent="0.2">
      <c r="A9" s="199"/>
      <c r="B9" s="199"/>
      <c r="C9" s="200"/>
      <c r="D9" s="199"/>
      <c r="E9" s="199"/>
      <c r="F9" s="199"/>
      <c r="G9" s="202"/>
      <c r="H9" s="199"/>
      <c r="I9" s="199"/>
      <c r="J9" s="199"/>
      <c r="K9" s="199"/>
      <c r="L9" s="203"/>
      <c r="M9" s="199"/>
      <c r="N9" s="202"/>
      <c r="O9" s="202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 s="90" customFormat="1" ht="27" customHeight="1" x14ac:dyDescent="0.2">
      <c r="A10" s="204" t="s">
        <v>33</v>
      </c>
      <c r="B10" s="205"/>
      <c r="C10" s="21">
        <v>1</v>
      </c>
      <c r="D10" s="21">
        <v>2</v>
      </c>
      <c r="E10" s="21">
        <v>3</v>
      </c>
      <c r="F10" s="21">
        <v>4</v>
      </c>
      <c r="G10" s="21" t="s">
        <v>183</v>
      </c>
      <c r="H10" s="21" t="s">
        <v>184</v>
      </c>
      <c r="I10" s="21" t="s">
        <v>185</v>
      </c>
      <c r="J10" s="21" t="s">
        <v>139</v>
      </c>
      <c r="K10" s="21" t="s">
        <v>15</v>
      </c>
      <c r="L10" s="21" t="s">
        <v>34</v>
      </c>
      <c r="M10" s="21" t="s">
        <v>31</v>
      </c>
      <c r="N10" s="21" t="s">
        <v>84</v>
      </c>
      <c r="O10" s="21" t="s">
        <v>85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</row>
    <row r="11" spans="1:32" s="81" customFormat="1" ht="25.5" x14ac:dyDescent="0.2">
      <c r="A11" s="206"/>
      <c r="B11" s="207"/>
      <c r="C11" s="95" t="s">
        <v>32</v>
      </c>
      <c r="D11" s="95" t="s">
        <v>10</v>
      </c>
      <c r="E11" s="95" t="s">
        <v>11</v>
      </c>
      <c r="F11" s="96"/>
      <c r="G11" s="97"/>
      <c r="H11" s="97"/>
      <c r="I11" s="97"/>
      <c r="J11" s="95"/>
      <c r="K11" s="97"/>
      <c r="L11" s="98">
        <f>ROUND(L2*L7,1)</f>
        <v>667.2</v>
      </c>
      <c r="M11" s="99"/>
      <c r="N11" s="100"/>
      <c r="O11" s="100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</row>
    <row r="12" spans="1:32" s="7" customFormat="1" ht="18" customHeight="1" x14ac:dyDescent="0.25">
      <c r="A12" s="101">
        <v>1</v>
      </c>
      <c r="B12" s="18" t="s">
        <v>142</v>
      </c>
      <c r="C12" s="108">
        <v>2891</v>
      </c>
      <c r="D12" s="14">
        <f>ИНП2025!U9</f>
        <v>0.75004000000000004</v>
      </c>
      <c r="E12" s="14">
        <f>ИБР2025!AR9</f>
        <v>1.5969899999999999</v>
      </c>
      <c r="F12" s="16">
        <f>ИНП2025!T9</f>
        <v>3854</v>
      </c>
      <c r="G12" s="17">
        <f>F12/E12</f>
        <v>2413.2900018159162</v>
      </c>
      <c r="H12" s="20">
        <f>F12/C12</f>
        <v>1.333102732618471</v>
      </c>
      <c r="I12" s="13">
        <f>D12/E12</f>
        <v>0.46965854513804101</v>
      </c>
      <c r="J12" s="108">
        <f>IF(I12&lt;$J$2,$J$2*($J$2-I12)*E12*C12,0)</f>
        <v>2685.6418416264073</v>
      </c>
      <c r="K12" s="15">
        <f t="shared" ref="K12:K17" si="0">J12/$J$18</f>
        <v>0.50256318707161263</v>
      </c>
      <c r="L12" s="197">
        <f>ROUND($L$11*K12/$K$18,1)</f>
        <v>335.3</v>
      </c>
      <c r="M12" s="13">
        <f>I12+L12/(C12*E12*$J$2)</f>
        <v>0.5399729693683617</v>
      </c>
      <c r="N12" s="112">
        <f>ROUND((G12+L12),1)</f>
        <v>2748.6</v>
      </c>
      <c r="O12" s="113">
        <f>ROUND(N12/C12,3)</f>
        <v>0.95099999999999996</v>
      </c>
    </row>
    <row r="13" spans="1:32" s="7" customFormat="1" ht="16.5" x14ac:dyDescent="0.25">
      <c r="A13" s="102">
        <v>2</v>
      </c>
      <c r="B13" s="18" t="s">
        <v>143</v>
      </c>
      <c r="C13" s="108">
        <v>5231</v>
      </c>
      <c r="D13" s="14">
        <f>ИНП2025!U10</f>
        <v>1.4283600000000001</v>
      </c>
      <c r="E13" s="14">
        <f>ИБР2025!AR10</f>
        <v>0.49478</v>
      </c>
      <c r="F13" s="16">
        <f>ИНП2025!T10</f>
        <v>13280</v>
      </c>
      <c r="G13" s="17">
        <f t="shared" ref="G13:G17" si="1">F13/E13</f>
        <v>26840.211811310077</v>
      </c>
      <c r="H13" s="20">
        <f t="shared" ref="H13:H17" si="2">F13/C13</f>
        <v>2.5387115274326133</v>
      </c>
      <c r="I13" s="13">
        <f t="shared" ref="I13:I17" si="3">D13/E13</f>
        <v>2.8868588059339504</v>
      </c>
      <c r="J13" s="108">
        <f t="shared" ref="J13:J17" si="4">IF(I13&lt;$J$2,$J$2*($J$2-I13)*E13*C13,0)</f>
        <v>0</v>
      </c>
      <c r="K13" s="15">
        <f t="shared" si="0"/>
        <v>0</v>
      </c>
      <c r="L13" s="197">
        <f>ROUND($L$11*K13/$K$18,1)</f>
        <v>0</v>
      </c>
      <c r="M13" s="13">
        <f t="shared" ref="M13:M17" si="5">I13+L13/(C13*E13*$J$2)</f>
        <v>2.8868588059339504</v>
      </c>
      <c r="N13" s="112">
        <f t="shared" ref="N13:N17" si="6">ROUND((G13+L13),1)</f>
        <v>26840.2</v>
      </c>
      <c r="O13" s="113">
        <f t="shared" ref="O13:O17" si="7">ROUND(N13/C13,3)</f>
        <v>5.1310000000000002</v>
      </c>
    </row>
    <row r="14" spans="1:32" s="7" customFormat="1" ht="16.5" customHeight="1" x14ac:dyDescent="0.25">
      <c r="A14" s="102">
        <v>3</v>
      </c>
      <c r="B14" s="18" t="s">
        <v>186</v>
      </c>
      <c r="C14" s="108">
        <v>576</v>
      </c>
      <c r="D14" s="14">
        <f>ИНП2025!U11</f>
        <v>0.58818999999999999</v>
      </c>
      <c r="E14" s="14">
        <f>ИБР2025!AR11</f>
        <v>1.1091800000000001</v>
      </c>
      <c r="F14" s="16">
        <f>ИНП2025!T11</f>
        <v>602.16999999999996</v>
      </c>
      <c r="G14" s="17">
        <f t="shared" si="1"/>
        <v>542.89655421121904</v>
      </c>
      <c r="H14" s="20">
        <f t="shared" si="2"/>
        <v>1.0454340277777776</v>
      </c>
      <c r="I14" s="13">
        <f t="shared" si="3"/>
        <v>0.53029264862330727</v>
      </c>
      <c r="J14" s="108">
        <f t="shared" si="4"/>
        <v>331.62880353761</v>
      </c>
      <c r="K14" s="15">
        <f t="shared" si="0"/>
        <v>6.2057578135465766E-2</v>
      </c>
      <c r="L14" s="197">
        <f>ROUND($L$11*K14/$K$18,1)</f>
        <v>41.4</v>
      </c>
      <c r="M14" s="13">
        <f t="shared" si="5"/>
        <v>0.59303156126454848</v>
      </c>
      <c r="N14" s="112">
        <f t="shared" si="6"/>
        <v>584.29999999999995</v>
      </c>
      <c r="O14" s="113">
        <f t="shared" si="7"/>
        <v>1.014</v>
      </c>
    </row>
    <row r="15" spans="1:32" s="19" customFormat="1" ht="16.5" customHeight="1" x14ac:dyDescent="0.25">
      <c r="A15" s="103">
        <v>4</v>
      </c>
      <c r="B15" s="18" t="s">
        <v>145</v>
      </c>
      <c r="C15" s="108">
        <v>809</v>
      </c>
      <c r="D15" s="14">
        <f>ИНП2025!U12</f>
        <v>0.46378000000000003</v>
      </c>
      <c r="E15" s="14">
        <f>ИБР2025!AR12</f>
        <v>1.3994</v>
      </c>
      <c r="F15" s="16">
        <f>ИНП2025!T12</f>
        <v>666.86</v>
      </c>
      <c r="G15" s="168">
        <f t="shared" si="1"/>
        <v>476.53279977133059</v>
      </c>
      <c r="H15" s="188">
        <f t="shared" si="2"/>
        <v>0.82430160692212606</v>
      </c>
      <c r="I15" s="189">
        <f t="shared" si="3"/>
        <v>0.33141346291267687</v>
      </c>
      <c r="J15" s="108">
        <f t="shared" si="4"/>
        <v>820.20035186810821</v>
      </c>
      <c r="K15" s="15">
        <f t="shared" si="0"/>
        <v>0.15348379537550971</v>
      </c>
      <c r="L15" s="197">
        <f>ROUND($L$11*K15/$K$18,1)</f>
        <v>102.4</v>
      </c>
      <c r="M15" s="13">
        <f t="shared" si="5"/>
        <v>0.41898656325689543</v>
      </c>
      <c r="N15" s="112">
        <f t="shared" si="6"/>
        <v>578.9</v>
      </c>
      <c r="O15" s="113">
        <f t="shared" si="7"/>
        <v>0.71599999999999997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4">
        <v>5</v>
      </c>
      <c r="B16" s="18" t="s">
        <v>146</v>
      </c>
      <c r="C16" s="108">
        <v>1083</v>
      </c>
      <c r="D16" s="14">
        <f>ИНП2025!U13</f>
        <v>0.55084999999999995</v>
      </c>
      <c r="E16" s="14">
        <f>ИБР2025!AR13</f>
        <v>1.40093</v>
      </c>
      <c r="F16" s="16">
        <f>ИНП2025!T13</f>
        <v>1060.33</v>
      </c>
      <c r="G16" s="168">
        <f t="shared" si="1"/>
        <v>756.87578965401553</v>
      </c>
      <c r="H16" s="188">
        <f t="shared" si="2"/>
        <v>0.97906740535549397</v>
      </c>
      <c r="I16" s="189">
        <f t="shared" si="3"/>
        <v>0.39320308652109665</v>
      </c>
      <c r="J16" s="108">
        <f t="shared" si="4"/>
        <v>1002.3666354295075</v>
      </c>
      <c r="K16" s="15">
        <f t="shared" si="0"/>
        <v>0.18757250617254054</v>
      </c>
      <c r="L16" s="197">
        <f>ROUND($L$11*K16/$K$18,2)</f>
        <v>125.15</v>
      </c>
      <c r="M16" s="13">
        <f t="shared" si="5"/>
        <v>0.47306636263064711</v>
      </c>
      <c r="N16" s="112">
        <f t="shared" si="6"/>
        <v>882</v>
      </c>
      <c r="O16" s="113">
        <f t="shared" si="7"/>
        <v>0.81399999999999995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4">
        <v>6</v>
      </c>
      <c r="B17" s="18" t="s">
        <v>147</v>
      </c>
      <c r="C17" s="108">
        <v>836</v>
      </c>
      <c r="D17" s="14">
        <f>ИНП2025!U14</f>
        <v>0.56855999999999995</v>
      </c>
      <c r="E17" s="14">
        <f>ИБР2025!AR14</f>
        <v>1.1156600000000001</v>
      </c>
      <c r="F17" s="16">
        <f>ИНП2025!T14</f>
        <v>844.81</v>
      </c>
      <c r="G17" s="168">
        <f t="shared" si="1"/>
        <v>757.22890486348876</v>
      </c>
      <c r="H17" s="188">
        <f t="shared" si="2"/>
        <v>1.0105382775119616</v>
      </c>
      <c r="I17" s="189">
        <f t="shared" si="3"/>
        <v>0.50961762544144262</v>
      </c>
      <c r="J17" s="108">
        <f t="shared" si="4"/>
        <v>504.05127686215621</v>
      </c>
      <c r="K17" s="15">
        <f t="shared" si="0"/>
        <v>9.4322933244871357E-2</v>
      </c>
      <c r="L17" s="197">
        <f>ROUND($L$11*K17/$K$18,1)</f>
        <v>62.9</v>
      </c>
      <c r="M17" s="13">
        <f t="shared" si="5"/>
        <v>0.57491168414105898</v>
      </c>
      <c r="N17" s="112">
        <f t="shared" si="6"/>
        <v>820.1</v>
      </c>
      <c r="O17" s="113">
        <f t="shared" si="7"/>
        <v>0.98099999999999998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ht="16.5" x14ac:dyDescent="0.25">
      <c r="A18" s="201" t="s">
        <v>0</v>
      </c>
      <c r="B18" s="201"/>
      <c r="C18" s="190">
        <f>SUM(C12:C17)</f>
        <v>11426</v>
      </c>
      <c r="D18" s="111">
        <f>ИНП2025!U15</f>
        <v>1</v>
      </c>
      <c r="E18" s="111">
        <f>ИБР2025!AR15</f>
        <v>1</v>
      </c>
      <c r="F18" s="22">
        <f>SUM(F12:F17)</f>
        <v>20308.170000000002</v>
      </c>
      <c r="G18" s="22">
        <f>SUM(G12:G17)</f>
        <v>31787.035861626049</v>
      </c>
      <c r="H18" s="24">
        <f>AVERAGE(H12:H17)</f>
        <v>1.2885259296030738</v>
      </c>
      <c r="I18" s="23">
        <f>AVERAGE(I12:I17)</f>
        <v>0.85350736242841896</v>
      </c>
      <c r="J18" s="22">
        <f>SUM(J12:J17)</f>
        <v>5343.8889093237894</v>
      </c>
      <c r="K18" s="110">
        <f>SUM(K12:K17)</f>
        <v>1</v>
      </c>
      <c r="L18" s="22">
        <f>SUM(L12:L17)</f>
        <v>667.15</v>
      </c>
      <c r="M18" s="23">
        <f>AVERAGE(M12:M17)</f>
        <v>0.91447132443257706</v>
      </c>
      <c r="N18" s="22">
        <f>SUM(N12:N17)</f>
        <v>32454.1</v>
      </c>
      <c r="O18" s="23">
        <f>AVERAGE(O12:O17)</f>
        <v>1.6011666666666666</v>
      </c>
    </row>
    <row r="19" spans="1:32" x14ac:dyDescent="0.2">
      <c r="A19" s="7"/>
      <c r="B19" s="7"/>
      <c r="C19" s="7"/>
      <c r="D19" s="7"/>
      <c r="E19" s="7"/>
      <c r="F19" s="7"/>
      <c r="G19" s="7"/>
      <c r="H19" s="7"/>
      <c r="I19" s="7"/>
      <c r="J19" s="12"/>
      <c r="K19" s="7"/>
      <c r="L19" s="7"/>
      <c r="M19" s="7"/>
      <c r="N19" s="7"/>
    </row>
    <row r="20" spans="1:32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11"/>
      <c r="M20" s="7"/>
      <c r="N20" s="7"/>
    </row>
  </sheetData>
  <mergeCells count="19">
    <mergeCell ref="A18:B18"/>
    <mergeCell ref="M7:M9"/>
    <mergeCell ref="N7:N9"/>
    <mergeCell ref="O7:O9"/>
    <mergeCell ref="L8:L9"/>
    <mergeCell ref="A10:B10"/>
    <mergeCell ref="A11:B11"/>
    <mergeCell ref="F7:F9"/>
    <mergeCell ref="G7:G9"/>
    <mergeCell ref="H7:H9"/>
    <mergeCell ref="I7:I9"/>
    <mergeCell ref="J7:J9"/>
    <mergeCell ref="K7:K9"/>
    <mergeCell ref="E7:E9"/>
    <mergeCell ref="A2:B2"/>
    <mergeCell ref="A7:A9"/>
    <mergeCell ref="B7:B9"/>
    <mergeCell ref="C7:C9"/>
    <mergeCell ref="D7:D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5"/>
  <sheetViews>
    <sheetView zoomScale="90" zoomScaleNormal="90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T9" sqref="T9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172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3" ht="28.5" customHeight="1" x14ac:dyDescent="0.2">
      <c r="A4" s="199" t="s">
        <v>1</v>
      </c>
      <c r="B4" s="199" t="s">
        <v>35</v>
      </c>
      <c r="C4" s="200" t="s">
        <v>171</v>
      </c>
      <c r="D4" s="209" t="s">
        <v>4</v>
      </c>
      <c r="E4" s="209"/>
      <c r="F4" s="209"/>
      <c r="G4" s="209"/>
      <c r="H4" s="209" t="s">
        <v>38</v>
      </c>
      <c r="I4" s="209"/>
      <c r="J4" s="209"/>
      <c r="K4" s="209"/>
      <c r="L4" s="209" t="s">
        <v>14</v>
      </c>
      <c r="M4" s="209"/>
      <c r="N4" s="209"/>
      <c r="O4" s="209"/>
      <c r="P4" s="209" t="s">
        <v>42</v>
      </c>
      <c r="Q4" s="209"/>
      <c r="R4" s="209"/>
      <c r="S4" s="209"/>
      <c r="T4" s="209" t="s">
        <v>12</v>
      </c>
      <c r="U4" s="209" t="s">
        <v>9</v>
      </c>
    </row>
    <row r="5" spans="1:23" ht="13.15" customHeight="1" x14ac:dyDescent="0.2">
      <c r="A5" s="199"/>
      <c r="B5" s="199"/>
      <c r="C5" s="200"/>
      <c r="D5" s="208" t="s">
        <v>27</v>
      </c>
      <c r="E5" s="208" t="s">
        <v>188</v>
      </c>
      <c r="F5" s="208" t="s">
        <v>36</v>
      </c>
      <c r="G5" s="209" t="s">
        <v>13</v>
      </c>
      <c r="H5" s="208" t="s">
        <v>39</v>
      </c>
      <c r="I5" s="199" t="s">
        <v>44</v>
      </c>
      <c r="J5" s="208" t="s">
        <v>36</v>
      </c>
      <c r="K5" s="209" t="s">
        <v>13</v>
      </c>
      <c r="L5" s="208" t="s">
        <v>40</v>
      </c>
      <c r="M5" s="208" t="s">
        <v>29</v>
      </c>
      <c r="N5" s="208" t="s">
        <v>41</v>
      </c>
      <c r="O5" s="209" t="s">
        <v>13</v>
      </c>
      <c r="P5" s="213" t="s">
        <v>39</v>
      </c>
      <c r="Q5" s="199" t="s">
        <v>43</v>
      </c>
      <c r="R5" s="208" t="s">
        <v>41</v>
      </c>
      <c r="S5" s="209" t="s">
        <v>13</v>
      </c>
      <c r="T5" s="209"/>
      <c r="U5" s="209"/>
    </row>
    <row r="6" spans="1:23" ht="84" customHeight="1" x14ac:dyDescent="0.2">
      <c r="A6" s="199"/>
      <c r="B6" s="199"/>
      <c r="C6" s="200"/>
      <c r="D6" s="208"/>
      <c r="E6" s="208"/>
      <c r="F6" s="208"/>
      <c r="G6" s="209"/>
      <c r="H6" s="208"/>
      <c r="I6" s="199"/>
      <c r="J6" s="208"/>
      <c r="K6" s="209"/>
      <c r="L6" s="208"/>
      <c r="M6" s="208"/>
      <c r="N6" s="208"/>
      <c r="O6" s="209"/>
      <c r="P6" s="213"/>
      <c r="Q6" s="199"/>
      <c r="R6" s="208"/>
      <c r="S6" s="209"/>
      <c r="T6" s="209"/>
      <c r="U6" s="209"/>
    </row>
    <row r="7" spans="1:23" s="25" customFormat="1" ht="28.5" customHeight="1" x14ac:dyDescent="0.2">
      <c r="A7" s="212" t="s">
        <v>33</v>
      </c>
      <c r="B7" s="212"/>
      <c r="C7" s="21">
        <v>1</v>
      </c>
      <c r="D7" s="91">
        <v>2</v>
      </c>
      <c r="E7" s="91">
        <v>3</v>
      </c>
      <c r="F7" s="91">
        <v>4</v>
      </c>
      <c r="G7" s="91" t="s">
        <v>37</v>
      </c>
      <c r="H7" s="91">
        <v>6</v>
      </c>
      <c r="I7" s="91">
        <v>7</v>
      </c>
      <c r="J7" s="91">
        <v>8</v>
      </c>
      <c r="K7" s="91" t="s">
        <v>79</v>
      </c>
      <c r="L7" s="91">
        <v>10</v>
      </c>
      <c r="M7" s="91">
        <v>11</v>
      </c>
      <c r="N7" s="91">
        <v>12</v>
      </c>
      <c r="O7" s="91" t="s">
        <v>80</v>
      </c>
      <c r="P7" s="91">
        <v>14</v>
      </c>
      <c r="Q7" s="91">
        <v>15</v>
      </c>
      <c r="R7" s="91">
        <v>16</v>
      </c>
      <c r="S7" s="91" t="s">
        <v>81</v>
      </c>
      <c r="T7" s="92" t="s">
        <v>82</v>
      </c>
      <c r="U7" s="93" t="s">
        <v>83</v>
      </c>
    </row>
    <row r="8" spans="1:23" s="25" customFormat="1" ht="13.5" x14ac:dyDescent="0.25">
      <c r="A8" s="211"/>
      <c r="B8" s="211"/>
      <c r="C8" s="125" t="s">
        <v>32</v>
      </c>
      <c r="D8" s="35"/>
      <c r="E8" s="125"/>
      <c r="F8" s="125" t="s">
        <v>28</v>
      </c>
      <c r="G8" s="35"/>
      <c r="H8" s="35"/>
      <c r="I8" s="35"/>
      <c r="J8" s="125" t="s">
        <v>28</v>
      </c>
      <c r="K8" s="26"/>
      <c r="L8" s="35"/>
      <c r="M8" s="125" t="s">
        <v>28</v>
      </c>
      <c r="N8" s="125" t="s">
        <v>28</v>
      </c>
      <c r="O8" s="35"/>
      <c r="P8" s="35"/>
      <c r="Q8" s="35"/>
      <c r="R8" s="125" t="s">
        <v>28</v>
      </c>
      <c r="S8" s="35"/>
      <c r="T8" s="26"/>
      <c r="U8" s="27" t="s">
        <v>6</v>
      </c>
    </row>
    <row r="9" spans="1:23" s="25" customFormat="1" ht="16.5" x14ac:dyDescent="0.25">
      <c r="A9" s="28" t="s">
        <v>24</v>
      </c>
      <c r="B9" s="18" t="s">
        <v>142</v>
      </c>
      <c r="C9" s="108">
        <v>2891</v>
      </c>
      <c r="D9" s="191">
        <v>159120</v>
      </c>
      <c r="E9" s="192">
        <v>0.1467</v>
      </c>
      <c r="F9" s="193">
        <v>0.1</v>
      </c>
      <c r="G9" s="30">
        <f>ROUND(D9*F9*E9,0)</f>
        <v>2334</v>
      </c>
      <c r="H9" s="194">
        <v>528</v>
      </c>
      <c r="I9" s="36"/>
      <c r="J9" s="29">
        <v>1</v>
      </c>
      <c r="K9" s="30">
        <f>ROUND((H9+I9)*J9,0)</f>
        <v>528</v>
      </c>
      <c r="L9" s="194">
        <v>500</v>
      </c>
      <c r="M9" s="193">
        <v>0.06</v>
      </c>
      <c r="N9" s="193">
        <v>0.5</v>
      </c>
      <c r="O9" s="30">
        <f>ROUND(L9*M9*N9,0)</f>
        <v>15</v>
      </c>
      <c r="P9" s="195">
        <v>938</v>
      </c>
      <c r="Q9" s="195">
        <v>39</v>
      </c>
      <c r="R9" s="29">
        <v>1</v>
      </c>
      <c r="S9" s="30">
        <f>ROUND((P9+Q9)*R9,0)</f>
        <v>977</v>
      </c>
      <c r="T9" s="30">
        <f>G9+K9+O9+S9</f>
        <v>3854</v>
      </c>
      <c r="U9" s="31">
        <f t="shared" ref="U9:U14" si="0">ROUND((T9/C9)/($T$15/$C$15),5)</f>
        <v>0.75004000000000004</v>
      </c>
      <c r="V9" s="32"/>
      <c r="W9" s="33"/>
    </row>
    <row r="10" spans="1:23" s="25" customFormat="1" ht="16.5" x14ac:dyDescent="0.25">
      <c r="A10" s="28" t="s">
        <v>21</v>
      </c>
      <c r="B10" s="18" t="s">
        <v>143</v>
      </c>
      <c r="C10" s="108">
        <v>5231</v>
      </c>
      <c r="D10" s="191">
        <v>566304</v>
      </c>
      <c r="E10" s="192">
        <v>0.14899999999999999</v>
      </c>
      <c r="F10" s="193">
        <v>0.1</v>
      </c>
      <c r="G10" s="30">
        <v>8437</v>
      </c>
      <c r="H10" s="194">
        <v>1782</v>
      </c>
      <c r="I10" s="36"/>
      <c r="J10" s="29">
        <v>1</v>
      </c>
      <c r="K10" s="30">
        <f t="shared" ref="K10:K14" si="1">ROUND((H10+I10)*J10,0)</f>
        <v>1782</v>
      </c>
      <c r="L10" s="194">
        <v>1367</v>
      </c>
      <c r="M10" s="193">
        <v>0.06</v>
      </c>
      <c r="N10" s="193">
        <v>0.5</v>
      </c>
      <c r="O10" s="30">
        <f t="shared" ref="O10:O14" si="2">ROUND(L10*M10*N10,0)</f>
        <v>41</v>
      </c>
      <c r="P10" s="195">
        <v>2436</v>
      </c>
      <c r="Q10" s="195">
        <v>584</v>
      </c>
      <c r="R10" s="29">
        <v>1</v>
      </c>
      <c r="S10" s="30">
        <f t="shared" ref="S10:S14" si="3">ROUND((P10+Q10)*R10,0)</f>
        <v>3020</v>
      </c>
      <c r="T10" s="30">
        <f t="shared" ref="T10:T14" si="4">G10+K10+O10+S10</f>
        <v>13280</v>
      </c>
      <c r="U10" s="31">
        <f t="shared" si="0"/>
        <v>1.4283600000000001</v>
      </c>
      <c r="V10" s="32"/>
      <c r="W10" s="33"/>
    </row>
    <row r="11" spans="1:23" s="25" customFormat="1" ht="16.5" x14ac:dyDescent="0.25">
      <c r="A11" s="28" t="s">
        <v>23</v>
      </c>
      <c r="B11" s="18" t="s">
        <v>144</v>
      </c>
      <c r="C11" s="108">
        <v>576</v>
      </c>
      <c r="D11" s="191">
        <v>12240</v>
      </c>
      <c r="E11" s="192">
        <v>0.1069</v>
      </c>
      <c r="F11" s="193">
        <v>0.02</v>
      </c>
      <c r="G11" s="30">
        <f t="shared" ref="G11:G14" si="5">ROUND(D11*F11*E11,2)</f>
        <v>26.17</v>
      </c>
      <c r="H11" s="194">
        <v>86</v>
      </c>
      <c r="I11" s="36"/>
      <c r="J11" s="29">
        <v>1</v>
      </c>
      <c r="K11" s="30">
        <f t="shared" si="1"/>
        <v>86</v>
      </c>
      <c r="L11" s="194">
        <v>617</v>
      </c>
      <c r="M11" s="193">
        <v>0.06</v>
      </c>
      <c r="N11" s="193">
        <v>0.3</v>
      </c>
      <c r="O11" s="30">
        <f t="shared" si="2"/>
        <v>11</v>
      </c>
      <c r="P11" s="195">
        <v>414</v>
      </c>
      <c r="Q11" s="195">
        <v>65</v>
      </c>
      <c r="R11" s="29">
        <v>1</v>
      </c>
      <c r="S11" s="30">
        <f t="shared" si="3"/>
        <v>479</v>
      </c>
      <c r="T11" s="30">
        <f t="shared" si="4"/>
        <v>602.16999999999996</v>
      </c>
      <c r="U11" s="31">
        <f t="shared" si="0"/>
        <v>0.58818999999999999</v>
      </c>
      <c r="V11" s="32"/>
      <c r="W11" s="33"/>
    </row>
    <row r="12" spans="1:23" s="25" customFormat="1" ht="16.5" x14ac:dyDescent="0.25">
      <c r="A12" s="28" t="s">
        <v>22</v>
      </c>
      <c r="B12" s="18" t="s">
        <v>145</v>
      </c>
      <c r="C12" s="108">
        <v>809</v>
      </c>
      <c r="D12" s="191">
        <v>20400</v>
      </c>
      <c r="E12" s="192">
        <v>0.1124</v>
      </c>
      <c r="F12" s="193">
        <v>0.02</v>
      </c>
      <c r="G12" s="30">
        <f t="shared" si="5"/>
        <v>45.86</v>
      </c>
      <c r="H12" s="194">
        <v>197</v>
      </c>
      <c r="I12" s="36"/>
      <c r="J12" s="29">
        <v>1</v>
      </c>
      <c r="K12" s="30">
        <f t="shared" si="1"/>
        <v>197</v>
      </c>
      <c r="L12" s="194">
        <v>117</v>
      </c>
      <c r="M12" s="193">
        <v>0.06</v>
      </c>
      <c r="N12" s="193">
        <v>0.3</v>
      </c>
      <c r="O12" s="30">
        <f t="shared" si="2"/>
        <v>2</v>
      </c>
      <c r="P12" s="195">
        <v>348</v>
      </c>
      <c r="Q12" s="195">
        <v>74</v>
      </c>
      <c r="R12" s="29">
        <v>1</v>
      </c>
      <c r="S12" s="30">
        <f t="shared" si="3"/>
        <v>422</v>
      </c>
      <c r="T12" s="30">
        <f t="shared" si="4"/>
        <v>666.86</v>
      </c>
      <c r="U12" s="31">
        <f t="shared" si="0"/>
        <v>0.46378000000000003</v>
      </c>
      <c r="V12" s="32"/>
      <c r="W12" s="33"/>
    </row>
    <row r="13" spans="1:23" s="25" customFormat="1" ht="16.5" x14ac:dyDescent="0.25">
      <c r="A13" s="28" t="s">
        <v>25</v>
      </c>
      <c r="B13" s="18" t="s">
        <v>146</v>
      </c>
      <c r="C13" s="108">
        <v>1083</v>
      </c>
      <c r="D13" s="191">
        <v>34272</v>
      </c>
      <c r="E13" s="192">
        <v>0.1172</v>
      </c>
      <c r="F13" s="193">
        <v>0.02</v>
      </c>
      <c r="G13" s="30">
        <f t="shared" si="5"/>
        <v>80.33</v>
      </c>
      <c r="H13" s="194">
        <v>44</v>
      </c>
      <c r="I13" s="36"/>
      <c r="J13" s="29">
        <v>1</v>
      </c>
      <c r="K13" s="30">
        <f t="shared" si="1"/>
        <v>44</v>
      </c>
      <c r="L13" s="194">
        <v>1783</v>
      </c>
      <c r="M13" s="193">
        <v>0.06</v>
      </c>
      <c r="N13" s="193">
        <v>0.3</v>
      </c>
      <c r="O13" s="30">
        <f t="shared" si="2"/>
        <v>32</v>
      </c>
      <c r="P13" s="195">
        <v>664</v>
      </c>
      <c r="Q13" s="195">
        <v>240</v>
      </c>
      <c r="R13" s="29">
        <v>1</v>
      </c>
      <c r="S13" s="30">
        <f t="shared" si="3"/>
        <v>904</v>
      </c>
      <c r="T13" s="30">
        <f t="shared" si="4"/>
        <v>1060.33</v>
      </c>
      <c r="U13" s="31">
        <f t="shared" si="0"/>
        <v>0.55084999999999995</v>
      </c>
      <c r="V13" s="32"/>
      <c r="W13" s="33"/>
    </row>
    <row r="14" spans="1:23" s="25" customFormat="1" ht="16.5" x14ac:dyDescent="0.25">
      <c r="A14" s="28" t="s">
        <v>26</v>
      </c>
      <c r="B14" s="18" t="s">
        <v>147</v>
      </c>
      <c r="C14" s="108">
        <v>836</v>
      </c>
      <c r="D14" s="191">
        <v>23664</v>
      </c>
      <c r="E14" s="192">
        <v>0.1158</v>
      </c>
      <c r="F14" s="193">
        <v>0.02</v>
      </c>
      <c r="G14" s="30">
        <f t="shared" si="5"/>
        <v>54.81</v>
      </c>
      <c r="H14" s="194">
        <v>45</v>
      </c>
      <c r="I14" s="36"/>
      <c r="J14" s="29">
        <v>1</v>
      </c>
      <c r="K14" s="30">
        <f t="shared" si="1"/>
        <v>45</v>
      </c>
      <c r="L14" s="194">
        <v>9833</v>
      </c>
      <c r="M14" s="193">
        <v>0.06</v>
      </c>
      <c r="N14" s="193">
        <v>0.3</v>
      </c>
      <c r="O14" s="30">
        <f t="shared" si="2"/>
        <v>177</v>
      </c>
      <c r="P14" s="195">
        <v>454</v>
      </c>
      <c r="Q14" s="195">
        <v>114</v>
      </c>
      <c r="R14" s="29">
        <v>1</v>
      </c>
      <c r="S14" s="30">
        <f t="shared" si="3"/>
        <v>568</v>
      </c>
      <c r="T14" s="30">
        <f t="shared" si="4"/>
        <v>844.81</v>
      </c>
      <c r="U14" s="31">
        <f t="shared" si="0"/>
        <v>0.56855999999999995</v>
      </c>
      <c r="V14" s="32"/>
      <c r="W14" s="33"/>
    </row>
    <row r="15" spans="1:23" s="94" customFormat="1" ht="17.25" customHeight="1" x14ac:dyDescent="0.25">
      <c r="A15" s="210" t="s">
        <v>0</v>
      </c>
      <c r="B15" s="210"/>
      <c r="C15" s="141">
        <f>SUM(C9:C14)</f>
        <v>11426</v>
      </c>
      <c r="D15" s="134">
        <f>SUM(D9:D14)</f>
        <v>816000</v>
      </c>
      <c r="E15" s="126" t="s">
        <v>5</v>
      </c>
      <c r="F15" s="126" t="s">
        <v>5</v>
      </c>
      <c r="G15" s="134">
        <f>SUM(G9:G14)</f>
        <v>10978.17</v>
      </c>
      <c r="H15" s="134">
        <f>SUM(H9:H14)</f>
        <v>2682</v>
      </c>
      <c r="I15" s="134">
        <f>SUM(I9:I14)</f>
        <v>0</v>
      </c>
      <c r="J15" s="126" t="s">
        <v>5</v>
      </c>
      <c r="K15" s="134">
        <f>SUM(K9:K14)</f>
        <v>2682</v>
      </c>
      <c r="L15" s="134">
        <f>SUM(L9:L14)</f>
        <v>14217</v>
      </c>
      <c r="M15" s="126" t="s">
        <v>5</v>
      </c>
      <c r="N15" s="126" t="s">
        <v>5</v>
      </c>
      <c r="O15" s="134">
        <f>SUM(O9:O14)</f>
        <v>278</v>
      </c>
      <c r="P15" s="134">
        <f>SUM(P9:P14)</f>
        <v>5254</v>
      </c>
      <c r="Q15" s="134">
        <f>SUM(Q9:Q14)</f>
        <v>1116</v>
      </c>
      <c r="R15" s="126" t="s">
        <v>5</v>
      </c>
      <c r="S15" s="134">
        <f>SUM(S9:S14)</f>
        <v>6370</v>
      </c>
      <c r="T15" s="134">
        <f>SUM(T9:T14)</f>
        <v>20308.170000000002</v>
      </c>
      <c r="U15" s="142">
        <f t="shared" ref="U15" si="6">(T15/C15)/($T$15/$C$15)</f>
        <v>1</v>
      </c>
    </row>
    <row r="16" spans="1:23" s="25" customFormat="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</row>
    <row r="17" spans="1:19" s="25" customFormat="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</row>
    <row r="18" spans="1:19" s="25" customForma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spans="1:19" s="25" customForma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  <row r="20" spans="1:19" s="25" customForma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</row>
    <row r="21" spans="1:19" s="25" customForma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</row>
    <row r="22" spans="1:19" s="25" customForma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</row>
    <row r="23" spans="1:19" s="25" customForma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</row>
    <row r="24" spans="1:19" s="25" customForma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s="25" customForma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19" s="25" customForma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</row>
    <row r="27" spans="1:19" s="25" customForma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</row>
    <row r="28" spans="1:19" s="25" customForma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</row>
    <row r="29" spans="1:19" s="25" customForma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</row>
    <row r="30" spans="1:19" s="25" customForma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</row>
    <row r="31" spans="1:19" s="25" customForma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</row>
    <row r="32" spans="1:19" s="25" customForma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25" customForma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</row>
    <row r="34" spans="1:19" s="25" customForma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19" s="25" customForma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s="25" customFormat="1" x14ac:dyDescent="0.2"/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</sheetData>
  <mergeCells count="28"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T62"/>
  <sheetViews>
    <sheetView zoomScale="80" zoomScaleNormal="80" zoomScaleSheetLayoutView="70" workbookViewId="0">
      <pane xSplit="3" topLeftCell="X1" activePane="topRight" state="frozenSplit"/>
      <selection activeCell="A4" sqref="A4"/>
      <selection pane="topRight" activeCell="AA9" sqref="AA9:AA1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9" customWidth="1"/>
    <col min="32" max="32" width="14" style="19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46" ht="18.75" x14ac:dyDescent="0.3">
      <c r="B2" s="39"/>
      <c r="C2" s="8" t="s">
        <v>173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3"/>
      <c r="AB2" s="3"/>
      <c r="AC2" s="3"/>
      <c r="AD2" s="3"/>
      <c r="AE2" s="174"/>
      <c r="AF2" s="174"/>
      <c r="AG2" s="3"/>
      <c r="AH2" s="3"/>
      <c r="AI2" s="3"/>
      <c r="AJ2" s="3"/>
      <c r="AK2" s="3"/>
      <c r="AL2" s="3"/>
      <c r="AM2" s="3"/>
      <c r="AN2" s="3"/>
      <c r="AO2" s="3"/>
      <c r="AP2" s="39"/>
      <c r="AQ2" s="39"/>
      <c r="AR2" s="39"/>
    </row>
    <row r="3" spans="1:46" ht="13.15" customHeight="1" x14ac:dyDescent="0.25">
      <c r="A3" s="2" t="s">
        <v>7</v>
      </c>
      <c r="B3" s="40"/>
      <c r="C3" s="41"/>
      <c r="D3" s="41"/>
      <c r="E3" s="119">
        <v>1</v>
      </c>
      <c r="F3" s="41"/>
      <c r="G3" s="41"/>
      <c r="H3" s="41"/>
      <c r="I3" s="119">
        <f>E3+1</f>
        <v>2</v>
      </c>
      <c r="J3" s="40"/>
      <c r="K3" s="40"/>
      <c r="L3" s="119">
        <f>I3+1</f>
        <v>3</v>
      </c>
      <c r="M3" s="41"/>
      <c r="N3" s="119">
        <f>L3+1</f>
        <v>4</v>
      </c>
      <c r="O3" s="41"/>
      <c r="P3" s="119">
        <f>N3+1</f>
        <v>5</v>
      </c>
      <c r="Q3" s="41"/>
      <c r="R3" s="119">
        <f>P3+1</f>
        <v>6</v>
      </c>
      <c r="S3" s="41"/>
      <c r="T3" s="119">
        <f>R3+1</f>
        <v>7</v>
      </c>
      <c r="U3" s="41"/>
      <c r="V3" s="119">
        <f>T3+1</f>
        <v>8</v>
      </c>
      <c r="W3" s="41"/>
      <c r="X3" s="119">
        <f>V3+1</f>
        <v>9</v>
      </c>
      <c r="Y3" s="41"/>
      <c r="Z3" s="119">
        <f>X3+1</f>
        <v>10</v>
      </c>
      <c r="AA3" s="41"/>
      <c r="AB3" s="119">
        <f>Z3+1</f>
        <v>11</v>
      </c>
      <c r="AC3" s="41"/>
      <c r="AD3" s="119">
        <f>AB3+1</f>
        <v>12</v>
      </c>
      <c r="AE3" s="175">
        <f>AD3+1</f>
        <v>13</v>
      </c>
      <c r="AF3" s="175">
        <f>AE3+1</f>
        <v>14</v>
      </c>
      <c r="AG3" s="41"/>
      <c r="AH3" s="41"/>
      <c r="AI3" s="119">
        <f>AF3+1</f>
        <v>15</v>
      </c>
      <c r="AJ3" s="41"/>
      <c r="AK3" s="41"/>
      <c r="AL3" s="119">
        <f>AI3+1</f>
        <v>16</v>
      </c>
      <c r="AM3" s="42"/>
      <c r="AN3" s="42"/>
      <c r="AO3" s="119">
        <f>AL3+1</f>
        <v>17</v>
      </c>
    </row>
    <row r="4" spans="1:46" ht="13.15" customHeight="1" x14ac:dyDescent="0.2">
      <c r="A4" s="199" t="s">
        <v>137</v>
      </c>
      <c r="B4" s="199" t="s">
        <v>2</v>
      </c>
      <c r="C4" s="214" t="s">
        <v>176</v>
      </c>
      <c r="D4" s="200" t="s">
        <v>133</v>
      </c>
      <c r="E4" s="214" t="s">
        <v>99</v>
      </c>
      <c r="F4" s="200" t="s">
        <v>100</v>
      </c>
      <c r="G4" s="200" t="s">
        <v>101</v>
      </c>
      <c r="H4" s="200" t="s">
        <v>134</v>
      </c>
      <c r="I4" s="214" t="s">
        <v>102</v>
      </c>
      <c r="J4" s="200" t="s">
        <v>148</v>
      </c>
      <c r="K4" s="200" t="s">
        <v>133</v>
      </c>
      <c r="L4" s="214" t="s">
        <v>149</v>
      </c>
      <c r="M4" s="200" t="s">
        <v>133</v>
      </c>
      <c r="N4" s="214" t="s">
        <v>152</v>
      </c>
      <c r="O4" s="200" t="s">
        <v>133</v>
      </c>
      <c r="P4" s="214" t="s">
        <v>103</v>
      </c>
      <c r="Q4" s="200" t="s">
        <v>133</v>
      </c>
      <c r="R4" s="214"/>
      <c r="S4" s="200" t="s">
        <v>133</v>
      </c>
      <c r="T4" s="214" t="s">
        <v>151</v>
      </c>
      <c r="U4" s="200" t="s">
        <v>133</v>
      </c>
      <c r="V4" s="214" t="s">
        <v>54</v>
      </c>
      <c r="W4" s="200" t="s">
        <v>133</v>
      </c>
      <c r="X4" s="214" t="s">
        <v>104</v>
      </c>
      <c r="Y4" s="200" t="s">
        <v>133</v>
      </c>
      <c r="Z4" s="214" t="s">
        <v>153</v>
      </c>
      <c r="AA4" s="200" t="s">
        <v>133</v>
      </c>
      <c r="AB4" s="214" t="s">
        <v>105</v>
      </c>
      <c r="AC4" s="200" t="s">
        <v>133</v>
      </c>
      <c r="AD4" s="214" t="s">
        <v>106</v>
      </c>
      <c r="AE4" s="232" t="s">
        <v>107</v>
      </c>
      <c r="AF4" s="232" t="s">
        <v>108</v>
      </c>
      <c r="AG4" s="200" t="s">
        <v>109</v>
      </c>
      <c r="AH4" s="200" t="s">
        <v>135</v>
      </c>
      <c r="AI4" s="214" t="s">
        <v>110</v>
      </c>
      <c r="AJ4" s="200" t="s">
        <v>114</v>
      </c>
      <c r="AK4" s="200" t="s">
        <v>55</v>
      </c>
      <c r="AL4" s="214" t="s">
        <v>111</v>
      </c>
      <c r="AM4" s="200" t="s">
        <v>112</v>
      </c>
      <c r="AN4" s="200" t="s">
        <v>136</v>
      </c>
      <c r="AO4" s="214" t="s">
        <v>113</v>
      </c>
      <c r="AP4" s="214" t="s">
        <v>56</v>
      </c>
      <c r="AQ4" s="214" t="s">
        <v>8</v>
      </c>
      <c r="AR4" s="214" t="s">
        <v>30</v>
      </c>
    </row>
    <row r="5" spans="1:46" ht="13.15" customHeight="1" x14ac:dyDescent="0.2">
      <c r="A5" s="199"/>
      <c r="B5" s="215"/>
      <c r="C5" s="214"/>
      <c r="D5" s="200"/>
      <c r="E5" s="214"/>
      <c r="F5" s="200"/>
      <c r="G5" s="200"/>
      <c r="H5" s="200"/>
      <c r="I5" s="214"/>
      <c r="J5" s="200"/>
      <c r="K5" s="200"/>
      <c r="L5" s="214"/>
      <c r="M5" s="200"/>
      <c r="N5" s="214"/>
      <c r="O5" s="200"/>
      <c r="P5" s="214"/>
      <c r="Q5" s="200"/>
      <c r="R5" s="214"/>
      <c r="S5" s="200"/>
      <c r="T5" s="214"/>
      <c r="U5" s="200"/>
      <c r="V5" s="214"/>
      <c r="W5" s="200"/>
      <c r="X5" s="214"/>
      <c r="Y5" s="200"/>
      <c r="Z5" s="214"/>
      <c r="AA5" s="200"/>
      <c r="AB5" s="214"/>
      <c r="AC5" s="200"/>
      <c r="AD5" s="214"/>
      <c r="AE5" s="232"/>
      <c r="AF5" s="232"/>
      <c r="AG5" s="200"/>
      <c r="AH5" s="200"/>
      <c r="AI5" s="214"/>
      <c r="AJ5" s="200"/>
      <c r="AK5" s="200"/>
      <c r="AL5" s="214"/>
      <c r="AM5" s="200"/>
      <c r="AN5" s="200"/>
      <c r="AO5" s="214"/>
      <c r="AP5" s="214"/>
      <c r="AQ5" s="214"/>
      <c r="AR5" s="214"/>
    </row>
    <row r="6" spans="1:46" ht="152.25" customHeight="1" x14ac:dyDescent="0.2">
      <c r="A6" s="199"/>
      <c r="B6" s="199"/>
      <c r="C6" s="214"/>
      <c r="D6" s="200"/>
      <c r="E6" s="214"/>
      <c r="F6" s="200"/>
      <c r="G6" s="200"/>
      <c r="H6" s="200"/>
      <c r="I6" s="214"/>
      <c r="J6" s="200"/>
      <c r="K6" s="200"/>
      <c r="L6" s="214"/>
      <c r="M6" s="200"/>
      <c r="N6" s="214"/>
      <c r="O6" s="200"/>
      <c r="P6" s="214"/>
      <c r="Q6" s="200"/>
      <c r="R6" s="214"/>
      <c r="S6" s="200"/>
      <c r="T6" s="214"/>
      <c r="U6" s="200"/>
      <c r="V6" s="214"/>
      <c r="W6" s="200"/>
      <c r="X6" s="214"/>
      <c r="Y6" s="200"/>
      <c r="Z6" s="214"/>
      <c r="AA6" s="200"/>
      <c r="AB6" s="214"/>
      <c r="AC6" s="200"/>
      <c r="AD6" s="214"/>
      <c r="AE6" s="232"/>
      <c r="AF6" s="232"/>
      <c r="AG6" s="200"/>
      <c r="AH6" s="200"/>
      <c r="AI6" s="214"/>
      <c r="AJ6" s="200"/>
      <c r="AK6" s="200"/>
      <c r="AL6" s="214"/>
      <c r="AM6" s="200"/>
      <c r="AN6" s="200"/>
      <c r="AO6" s="214"/>
      <c r="AP6" s="214"/>
      <c r="AQ6" s="214"/>
      <c r="AR6" s="214"/>
      <c r="AT6" s="7"/>
    </row>
    <row r="7" spans="1:46" x14ac:dyDescent="0.2">
      <c r="A7" s="217" t="s">
        <v>57</v>
      </c>
      <c r="B7" s="218"/>
      <c r="C7" s="146">
        <v>1</v>
      </c>
      <c r="D7" s="146">
        <v>2</v>
      </c>
      <c r="E7" s="146" t="s">
        <v>115</v>
      </c>
      <c r="F7" s="146" t="s">
        <v>116</v>
      </c>
      <c r="G7" s="143" t="s">
        <v>117</v>
      </c>
      <c r="H7" s="146">
        <v>6</v>
      </c>
      <c r="I7" s="146" t="s">
        <v>138</v>
      </c>
      <c r="J7" s="146">
        <v>8</v>
      </c>
      <c r="K7" s="146">
        <v>9</v>
      </c>
      <c r="L7" s="146" t="s">
        <v>150</v>
      </c>
      <c r="M7" s="146">
        <v>11</v>
      </c>
      <c r="N7" s="146" t="s">
        <v>118</v>
      </c>
      <c r="O7" s="146">
        <v>13</v>
      </c>
      <c r="P7" s="146" t="s">
        <v>119</v>
      </c>
      <c r="Q7" s="146">
        <v>15</v>
      </c>
      <c r="R7" s="146" t="s">
        <v>120</v>
      </c>
      <c r="S7" s="146">
        <v>17</v>
      </c>
      <c r="T7" s="146" t="s">
        <v>121</v>
      </c>
      <c r="U7" s="146">
        <v>19</v>
      </c>
      <c r="V7" s="146" t="s">
        <v>122</v>
      </c>
      <c r="W7" s="146">
        <v>21</v>
      </c>
      <c r="X7" s="146" t="s">
        <v>123</v>
      </c>
      <c r="Y7" s="146">
        <v>23</v>
      </c>
      <c r="Z7" s="146" t="s">
        <v>124</v>
      </c>
      <c r="AA7" s="146">
        <v>25</v>
      </c>
      <c r="AB7" s="146" t="s">
        <v>125</v>
      </c>
      <c r="AC7" s="146">
        <v>27</v>
      </c>
      <c r="AD7" s="146" t="s">
        <v>126</v>
      </c>
      <c r="AE7" s="183">
        <v>29</v>
      </c>
      <c r="AF7" s="183">
        <v>30</v>
      </c>
      <c r="AG7" s="146">
        <v>31</v>
      </c>
      <c r="AH7" s="146">
        <v>32</v>
      </c>
      <c r="AI7" s="146" t="s">
        <v>127</v>
      </c>
      <c r="AJ7" s="146">
        <v>34</v>
      </c>
      <c r="AK7" s="146">
        <v>35</v>
      </c>
      <c r="AL7" s="146" t="s">
        <v>128</v>
      </c>
      <c r="AM7" s="146">
        <v>37</v>
      </c>
      <c r="AN7" s="146">
        <v>38</v>
      </c>
      <c r="AO7" s="146" t="s">
        <v>129</v>
      </c>
      <c r="AP7" s="146" t="s">
        <v>130</v>
      </c>
      <c r="AQ7" s="146" t="s">
        <v>131</v>
      </c>
      <c r="AR7" s="144" t="s">
        <v>132</v>
      </c>
    </row>
    <row r="8" spans="1:46" ht="13.5" x14ac:dyDescent="0.25">
      <c r="A8" s="216"/>
      <c r="B8" s="216"/>
      <c r="C8" s="125" t="s">
        <v>32</v>
      </c>
      <c r="D8" s="127"/>
      <c r="E8" s="128"/>
      <c r="F8" s="127"/>
      <c r="G8" s="127"/>
      <c r="H8" s="127"/>
      <c r="I8" s="128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83"/>
      <c r="AF8" s="183"/>
      <c r="AG8" s="127"/>
      <c r="AH8" s="127"/>
      <c r="AI8" s="127"/>
      <c r="AJ8" s="127"/>
      <c r="AK8" s="127"/>
      <c r="AL8" s="127"/>
      <c r="AM8" s="129"/>
      <c r="AN8" s="183"/>
      <c r="AO8" s="129"/>
      <c r="AP8" s="130"/>
      <c r="AQ8" s="130"/>
      <c r="AR8" s="131" t="s">
        <v>6</v>
      </c>
    </row>
    <row r="9" spans="1:46" s="122" customFormat="1" ht="16.5" x14ac:dyDescent="0.25">
      <c r="A9" s="61">
        <v>1</v>
      </c>
      <c r="B9" s="18" t="s">
        <v>142</v>
      </c>
      <c r="C9" s="108">
        <v>2891</v>
      </c>
      <c r="D9" s="73">
        <v>0.6</v>
      </c>
      <c r="E9" s="54">
        <f>C9*D9</f>
        <v>1734.6</v>
      </c>
      <c r="F9" s="65">
        <f>ROUND(C9*5%,0)</f>
        <v>145</v>
      </c>
      <c r="G9" s="65">
        <f>F9*18</f>
        <v>2610</v>
      </c>
      <c r="H9" s="65"/>
      <c r="I9" s="54">
        <f>G9*H9/1000*1%</f>
        <v>0</v>
      </c>
      <c r="J9" s="120"/>
      <c r="K9" s="148">
        <v>0.14974999999999999</v>
      </c>
      <c r="L9" s="54">
        <f>K9*C9</f>
        <v>432.92724999999996</v>
      </c>
      <c r="M9" s="147">
        <v>2.7200000000000002E-3</v>
      </c>
      <c r="N9" s="54">
        <f>C9*M9</f>
        <v>7.8635200000000003</v>
      </c>
      <c r="O9" s="148">
        <v>6.3219999999999998E-2</v>
      </c>
      <c r="P9" s="54">
        <f>C9*O9</f>
        <v>182.76901999999998</v>
      </c>
      <c r="Q9" s="148"/>
      <c r="R9" s="54">
        <f>C9*Q9</f>
        <v>0</v>
      </c>
      <c r="S9" s="157">
        <v>2.8510000000000001E-2</v>
      </c>
      <c r="T9" s="54">
        <f>C9*S9</f>
        <v>82.422409999999999</v>
      </c>
      <c r="U9" s="148">
        <v>3.5860000000000003E-2</v>
      </c>
      <c r="V9" s="54">
        <f>C9*U9</f>
        <v>103.67126</v>
      </c>
      <c r="W9" s="148">
        <v>2.9340000000000001E-2</v>
      </c>
      <c r="X9" s="54">
        <f>C9*W9</f>
        <v>84.821939999999998</v>
      </c>
      <c r="Y9" s="148">
        <v>2.0899999999999998E-3</v>
      </c>
      <c r="Z9" s="54">
        <f>C9*Y9</f>
        <v>6.0421899999999997</v>
      </c>
      <c r="AA9" s="148">
        <v>0.30991000000000002</v>
      </c>
      <c r="AB9" s="54">
        <f>C9*AA9</f>
        <v>895.94981000000007</v>
      </c>
      <c r="AC9" s="148">
        <v>2.1800000000000001E-3</v>
      </c>
      <c r="AD9" s="54">
        <f t="shared" ref="AD9:AD14" si="0">C9*AC9</f>
        <v>6.3023800000000003</v>
      </c>
      <c r="AE9" s="165">
        <v>46.9</v>
      </c>
      <c r="AF9" s="165">
        <v>35</v>
      </c>
      <c r="AG9" s="65">
        <v>1</v>
      </c>
      <c r="AH9" s="169">
        <v>3767.0920000000001</v>
      </c>
      <c r="AI9" s="54">
        <f>AG9*AH9</f>
        <v>3767.0920000000001</v>
      </c>
      <c r="AJ9" s="65">
        <v>2</v>
      </c>
      <c r="AK9" s="169">
        <v>21.774999999999999</v>
      </c>
      <c r="AL9" s="54">
        <f>AJ9*AK9</f>
        <v>43.55</v>
      </c>
      <c r="AM9" s="173">
        <v>707</v>
      </c>
      <c r="AN9" s="166">
        <v>8.5500000000000007</v>
      </c>
      <c r="AO9" s="54">
        <f>AM9*AN9*12/1000</f>
        <v>72.538200000000018</v>
      </c>
      <c r="AP9" s="56">
        <f>E9+I9+L9+N9+P9+R9+T9+V9+X9+Z9+AB9+AD9+AE9+AF9+AI9+AL9+AO9+J9</f>
        <v>7502.4499800000012</v>
      </c>
      <c r="AQ9" s="132">
        <f t="shared" ref="AQ9:AQ14" si="1">AP9/C9</f>
        <v>2.5951054929090285</v>
      </c>
      <c r="AR9" s="133">
        <f t="shared" ref="AR9:AR14" si="2">ROUND((AP9/C9)/($AP$15/$C$15),5)</f>
        <v>1.5969899999999999</v>
      </c>
      <c r="AS9" s="121"/>
    </row>
    <row r="10" spans="1:46" s="122" customFormat="1" ht="16.5" x14ac:dyDescent="0.25">
      <c r="A10" s="61">
        <v>2</v>
      </c>
      <c r="B10" s="18" t="s">
        <v>143</v>
      </c>
      <c r="C10" s="108">
        <v>5231</v>
      </c>
      <c r="D10" s="73">
        <v>0</v>
      </c>
      <c r="E10" s="54">
        <f t="shared" ref="E10:E14" si="3">C10*D10</f>
        <v>0</v>
      </c>
      <c r="F10" s="65">
        <f t="shared" ref="F10:F14" si="4">ROUND(C10*5%,0)</f>
        <v>262</v>
      </c>
      <c r="G10" s="65">
        <f t="shared" ref="G10:G14" si="5">F10*18</f>
        <v>4716</v>
      </c>
      <c r="H10" s="65"/>
      <c r="I10" s="54">
        <f t="shared" ref="I10:I14" si="6">G10*H10/1000*1%</f>
        <v>0</v>
      </c>
      <c r="J10" s="166"/>
      <c r="K10" s="148">
        <v>0.14974999999999999</v>
      </c>
      <c r="L10" s="54">
        <f t="shared" ref="L10:L14" si="7">K10*C10</f>
        <v>783.34224999999992</v>
      </c>
      <c r="M10" s="147">
        <v>2.7200000000000002E-3</v>
      </c>
      <c r="N10" s="54">
        <f t="shared" ref="N10:N14" si="8">C10*M10</f>
        <v>14.228320000000002</v>
      </c>
      <c r="O10" s="148">
        <v>6.3219999999999998E-2</v>
      </c>
      <c r="P10" s="54">
        <f t="shared" ref="P10:P14" si="9">C10*O10</f>
        <v>330.70382000000001</v>
      </c>
      <c r="Q10" s="148"/>
      <c r="R10" s="54">
        <f t="shared" ref="R10:R14" si="10">C10*Q10</f>
        <v>0</v>
      </c>
      <c r="S10" s="157">
        <v>2.8510000000000001E-2</v>
      </c>
      <c r="T10" s="54">
        <f t="shared" ref="T10:T14" si="11">C10*S10</f>
        <v>149.13580999999999</v>
      </c>
      <c r="U10" s="148">
        <v>3.5860000000000003E-2</v>
      </c>
      <c r="V10" s="54">
        <f t="shared" ref="V10:V14" si="12">C10*U10</f>
        <v>187.58366000000001</v>
      </c>
      <c r="W10" s="148">
        <v>2.9340000000000001E-2</v>
      </c>
      <c r="X10" s="54">
        <f t="shared" ref="X10:X14" si="13">C10*W10</f>
        <v>153.47754</v>
      </c>
      <c r="Y10" s="148">
        <v>2.0899999999999998E-3</v>
      </c>
      <c r="Z10" s="54">
        <f t="shared" ref="Z10:Z14" si="14">C10*Y10</f>
        <v>10.932789999999999</v>
      </c>
      <c r="AA10" s="148">
        <v>0.30991000000000002</v>
      </c>
      <c r="AB10" s="54">
        <f t="shared" ref="AB10:AB14" si="15">C10*AA10</f>
        <v>1621.13921</v>
      </c>
      <c r="AC10" s="148">
        <v>2.1800000000000001E-3</v>
      </c>
      <c r="AD10" s="54">
        <f t="shared" si="0"/>
        <v>11.40358</v>
      </c>
      <c r="AE10" s="165">
        <v>82.7</v>
      </c>
      <c r="AF10" s="165">
        <v>615</v>
      </c>
      <c r="AG10" s="65"/>
      <c r="AH10" s="73"/>
      <c r="AI10" s="54">
        <f>AG10*AH10</f>
        <v>0</v>
      </c>
      <c r="AJ10" s="65">
        <v>3</v>
      </c>
      <c r="AK10" s="169">
        <v>21.774999999999999</v>
      </c>
      <c r="AL10" s="54">
        <f t="shared" ref="AL10:AL14" si="16">AJ10*AK10</f>
        <v>65.324999999999989</v>
      </c>
      <c r="AM10" s="173">
        <v>1762.3</v>
      </c>
      <c r="AN10" s="166">
        <v>8.5500000000000007</v>
      </c>
      <c r="AO10" s="54">
        <f t="shared" ref="AO10:AO14" si="17">AM10*AN10*12/1000</f>
        <v>180.81198000000001</v>
      </c>
      <c r="AP10" s="56">
        <f t="shared" ref="AP10:AP14" si="18">E10+I10+L10+N10+P10+R10+T10+V10+X10+Z10+AB10+AD10+AE10+AF10+AI10+AL10+AO10+J10</f>
        <v>4205.7839600000007</v>
      </c>
      <c r="AQ10" s="132">
        <f t="shared" si="1"/>
        <v>0.80401146243548094</v>
      </c>
      <c r="AR10" s="133">
        <f t="shared" si="2"/>
        <v>0.49478</v>
      </c>
      <c r="AS10" s="121"/>
    </row>
    <row r="11" spans="1:46" s="122" customFormat="1" ht="16.5" x14ac:dyDescent="0.25">
      <c r="A11" s="61">
        <v>3</v>
      </c>
      <c r="B11" s="18" t="s">
        <v>144</v>
      </c>
      <c r="C11" s="108">
        <v>576</v>
      </c>
      <c r="D11" s="73">
        <v>0.9</v>
      </c>
      <c r="E11" s="54">
        <f t="shared" si="3"/>
        <v>518.4</v>
      </c>
      <c r="F11" s="65">
        <f t="shared" si="4"/>
        <v>29</v>
      </c>
      <c r="G11" s="65">
        <f t="shared" si="5"/>
        <v>522</v>
      </c>
      <c r="H11" s="65"/>
      <c r="I11" s="54">
        <f t="shared" si="6"/>
        <v>0</v>
      </c>
      <c r="J11" s="120"/>
      <c r="K11" s="148">
        <v>0.14715</v>
      </c>
      <c r="L11" s="54">
        <f t="shared" si="7"/>
        <v>84.758399999999995</v>
      </c>
      <c r="M11" s="73"/>
      <c r="N11" s="54">
        <f t="shared" si="8"/>
        <v>0</v>
      </c>
      <c r="O11" s="148">
        <v>1.3500000000000001E-3</v>
      </c>
      <c r="P11" s="54">
        <f t="shared" si="9"/>
        <v>0.77760000000000007</v>
      </c>
      <c r="Q11" s="148"/>
      <c r="R11" s="54">
        <f t="shared" si="10"/>
        <v>0</v>
      </c>
      <c r="S11" s="157">
        <v>9.0999999999999998E-2</v>
      </c>
      <c r="T11" s="54">
        <f t="shared" si="11"/>
        <v>52.415999999999997</v>
      </c>
      <c r="U11" s="148">
        <v>3.5860000000000003E-2</v>
      </c>
      <c r="V11" s="54">
        <f t="shared" si="12"/>
        <v>20.655360000000002</v>
      </c>
      <c r="W11" s="148">
        <v>1.469E-2</v>
      </c>
      <c r="X11" s="54">
        <f t="shared" si="13"/>
        <v>8.4614399999999996</v>
      </c>
      <c r="Y11" s="148">
        <v>4.7400000000000003E-3</v>
      </c>
      <c r="Z11" s="54">
        <f t="shared" si="14"/>
        <v>2.7302400000000002</v>
      </c>
      <c r="AA11" s="148">
        <v>0.24740999999999999</v>
      </c>
      <c r="AB11" s="54">
        <f t="shared" si="15"/>
        <v>142.50816</v>
      </c>
      <c r="AC11" s="148">
        <v>2.1800000000000001E-3</v>
      </c>
      <c r="AD11" s="54">
        <f t="shared" si="0"/>
        <v>1.2556800000000001</v>
      </c>
      <c r="AE11" s="165">
        <v>86.9</v>
      </c>
      <c r="AF11" s="165">
        <v>3</v>
      </c>
      <c r="AG11" s="65"/>
      <c r="AH11" s="73"/>
      <c r="AI11" s="54">
        <f t="shared" ref="AI11:AI14" si="19">AG11*AH11</f>
        <v>0</v>
      </c>
      <c r="AJ11" s="65">
        <v>4</v>
      </c>
      <c r="AK11" s="169">
        <v>21.774999999999999</v>
      </c>
      <c r="AL11" s="54">
        <f t="shared" si="16"/>
        <v>87.1</v>
      </c>
      <c r="AM11" s="173">
        <v>284.89999999999998</v>
      </c>
      <c r="AN11" s="166">
        <v>8.5500000000000007</v>
      </c>
      <c r="AO11" s="54">
        <f t="shared" si="17"/>
        <v>29.230739999999997</v>
      </c>
      <c r="AP11" s="56">
        <f t="shared" si="18"/>
        <v>1038.19362</v>
      </c>
      <c r="AQ11" s="132">
        <f t="shared" si="1"/>
        <v>1.8024194791666668</v>
      </c>
      <c r="AR11" s="133">
        <f t="shared" si="2"/>
        <v>1.1091800000000001</v>
      </c>
      <c r="AS11" s="121"/>
    </row>
    <row r="12" spans="1:46" s="122" customFormat="1" ht="16.5" x14ac:dyDescent="0.25">
      <c r="A12" s="61">
        <v>4</v>
      </c>
      <c r="B12" s="18" t="s">
        <v>145</v>
      </c>
      <c r="C12" s="108">
        <v>809</v>
      </c>
      <c r="D12" s="73">
        <v>0.9</v>
      </c>
      <c r="E12" s="54">
        <f t="shared" si="3"/>
        <v>728.1</v>
      </c>
      <c r="F12" s="65">
        <f t="shared" si="4"/>
        <v>40</v>
      </c>
      <c r="G12" s="65">
        <f t="shared" si="5"/>
        <v>720</v>
      </c>
      <c r="H12" s="65"/>
      <c r="I12" s="54">
        <f t="shared" si="6"/>
        <v>0</v>
      </c>
      <c r="J12" s="120"/>
      <c r="K12" s="148">
        <v>0.14715</v>
      </c>
      <c r="L12" s="54">
        <f t="shared" si="7"/>
        <v>119.04435000000001</v>
      </c>
      <c r="M12" s="73"/>
      <c r="N12" s="54">
        <f t="shared" si="8"/>
        <v>0</v>
      </c>
      <c r="O12" s="148">
        <v>1.3500000000000001E-3</v>
      </c>
      <c r="P12" s="54">
        <f t="shared" si="9"/>
        <v>1.09215</v>
      </c>
      <c r="Q12" s="148"/>
      <c r="R12" s="54">
        <f>C12*Q12</f>
        <v>0</v>
      </c>
      <c r="S12" s="157">
        <v>9.0999999999999998E-2</v>
      </c>
      <c r="T12" s="54">
        <f t="shared" si="11"/>
        <v>73.619</v>
      </c>
      <c r="U12" s="148">
        <v>3.5860000000000003E-2</v>
      </c>
      <c r="V12" s="54">
        <f t="shared" si="12"/>
        <v>29.010740000000002</v>
      </c>
      <c r="W12" s="148">
        <v>1.469E-2</v>
      </c>
      <c r="X12" s="54">
        <f t="shared" si="13"/>
        <v>11.884209999999999</v>
      </c>
      <c r="Y12" s="148">
        <v>4.7400000000000003E-3</v>
      </c>
      <c r="Z12" s="54">
        <f t="shared" si="14"/>
        <v>3.8346600000000004</v>
      </c>
      <c r="AA12" s="148">
        <v>0.24740999999999999</v>
      </c>
      <c r="AB12" s="54">
        <f t="shared" si="15"/>
        <v>200.15468999999999</v>
      </c>
      <c r="AC12" s="148">
        <v>2.1800000000000001E-3</v>
      </c>
      <c r="AD12" s="54">
        <f t="shared" si="0"/>
        <v>1.76362</v>
      </c>
      <c r="AE12" s="165">
        <v>150</v>
      </c>
      <c r="AF12" s="165">
        <v>1</v>
      </c>
      <c r="AG12" s="65">
        <v>1</v>
      </c>
      <c r="AH12" s="169">
        <v>476.63200000000001</v>
      </c>
      <c r="AI12" s="54">
        <f t="shared" si="19"/>
        <v>476.63200000000001</v>
      </c>
      <c r="AJ12" s="65">
        <v>2</v>
      </c>
      <c r="AK12" s="169">
        <v>21.774999999999999</v>
      </c>
      <c r="AL12" s="54">
        <f t="shared" si="16"/>
        <v>43.55</v>
      </c>
      <c r="AM12" s="173">
        <v>0</v>
      </c>
      <c r="AN12" s="166">
        <v>8.5500000000000007</v>
      </c>
      <c r="AO12" s="54">
        <f t="shared" si="17"/>
        <v>0</v>
      </c>
      <c r="AP12" s="56">
        <f t="shared" si="18"/>
        <v>1839.68542</v>
      </c>
      <c r="AQ12" s="132">
        <f t="shared" si="1"/>
        <v>2.2740240049443758</v>
      </c>
      <c r="AR12" s="133">
        <f t="shared" si="2"/>
        <v>1.3994</v>
      </c>
      <c r="AS12" s="121"/>
    </row>
    <row r="13" spans="1:46" s="122" customFormat="1" ht="16.5" x14ac:dyDescent="0.25">
      <c r="A13" s="61">
        <v>5</v>
      </c>
      <c r="B13" s="18" t="s">
        <v>154</v>
      </c>
      <c r="C13" s="108">
        <v>1083</v>
      </c>
      <c r="D13" s="73">
        <v>0.86399999999999999</v>
      </c>
      <c r="E13" s="54">
        <f t="shared" si="3"/>
        <v>935.71199999999999</v>
      </c>
      <c r="F13" s="65">
        <f t="shared" si="4"/>
        <v>54</v>
      </c>
      <c r="G13" s="65">
        <f t="shared" si="5"/>
        <v>972</v>
      </c>
      <c r="H13" s="65"/>
      <c r="I13" s="54">
        <f t="shared" si="6"/>
        <v>0</v>
      </c>
      <c r="J13" s="120"/>
      <c r="K13" s="148">
        <v>0.14715</v>
      </c>
      <c r="L13" s="54">
        <f t="shared" si="7"/>
        <v>159.36345</v>
      </c>
      <c r="M13" s="73"/>
      <c r="N13" s="54">
        <f t="shared" si="8"/>
        <v>0</v>
      </c>
      <c r="O13" s="148">
        <v>1.3500000000000001E-3</v>
      </c>
      <c r="P13" s="54">
        <f t="shared" si="9"/>
        <v>1.4620500000000001</v>
      </c>
      <c r="Q13" s="148"/>
      <c r="R13" s="54">
        <f t="shared" si="10"/>
        <v>0</v>
      </c>
      <c r="S13" s="157">
        <v>9.0999999999999998E-2</v>
      </c>
      <c r="T13" s="54">
        <f t="shared" si="11"/>
        <v>98.552999999999997</v>
      </c>
      <c r="U13" s="148">
        <v>3.5860000000000003E-2</v>
      </c>
      <c r="V13" s="54">
        <f t="shared" si="12"/>
        <v>38.836380000000005</v>
      </c>
      <c r="W13" s="148">
        <v>1.469E-2</v>
      </c>
      <c r="X13" s="54">
        <f t="shared" si="13"/>
        <v>15.909269999999999</v>
      </c>
      <c r="Y13" s="148">
        <v>4.7400000000000003E-3</v>
      </c>
      <c r="Z13" s="54">
        <f t="shared" si="14"/>
        <v>5.1334200000000001</v>
      </c>
      <c r="AA13" s="148">
        <v>0.24740999999999999</v>
      </c>
      <c r="AB13" s="54">
        <f t="shared" si="15"/>
        <v>267.94502999999997</v>
      </c>
      <c r="AC13" s="148">
        <v>2.1800000000000001E-3</v>
      </c>
      <c r="AD13" s="54">
        <f t="shared" si="0"/>
        <v>2.3609400000000003</v>
      </c>
      <c r="AE13" s="165">
        <v>140.80000000000001</v>
      </c>
      <c r="AF13" s="165">
        <v>82</v>
      </c>
      <c r="AG13" s="65">
        <v>1</v>
      </c>
      <c r="AH13" s="169">
        <v>476.63200000000001</v>
      </c>
      <c r="AI13" s="54">
        <f t="shared" si="19"/>
        <v>476.63200000000001</v>
      </c>
      <c r="AJ13" s="65">
        <v>8</v>
      </c>
      <c r="AK13" s="169">
        <v>21.774999999999999</v>
      </c>
      <c r="AL13" s="54">
        <f t="shared" si="16"/>
        <v>174.2</v>
      </c>
      <c r="AM13" s="173">
        <v>648.70000000000005</v>
      </c>
      <c r="AN13" s="166">
        <v>8.5500000000000007</v>
      </c>
      <c r="AO13" s="54">
        <f t="shared" si="17"/>
        <v>66.556620000000009</v>
      </c>
      <c r="AP13" s="56">
        <f t="shared" si="18"/>
        <v>2465.4641599999995</v>
      </c>
      <c r="AQ13" s="132">
        <f t="shared" si="1"/>
        <v>2.2765135364727604</v>
      </c>
      <c r="AR13" s="133">
        <f t="shared" si="2"/>
        <v>1.40093</v>
      </c>
      <c r="AS13" s="121"/>
    </row>
    <row r="14" spans="1:46" s="122" customFormat="1" ht="16.5" x14ac:dyDescent="0.25">
      <c r="A14" s="61">
        <v>6</v>
      </c>
      <c r="B14" s="18" t="s">
        <v>147</v>
      </c>
      <c r="C14" s="108">
        <v>836</v>
      </c>
      <c r="D14" s="73">
        <v>0.9</v>
      </c>
      <c r="E14" s="54">
        <f t="shared" si="3"/>
        <v>752.4</v>
      </c>
      <c r="F14" s="65">
        <f t="shared" si="4"/>
        <v>42</v>
      </c>
      <c r="G14" s="65">
        <f t="shared" si="5"/>
        <v>756</v>
      </c>
      <c r="H14" s="65"/>
      <c r="I14" s="54">
        <f t="shared" si="6"/>
        <v>0</v>
      </c>
      <c r="J14" s="120"/>
      <c r="K14" s="148">
        <v>0.14715</v>
      </c>
      <c r="L14" s="54">
        <f t="shared" si="7"/>
        <v>123.01740000000001</v>
      </c>
      <c r="M14" s="73"/>
      <c r="N14" s="54">
        <f t="shared" si="8"/>
        <v>0</v>
      </c>
      <c r="O14" s="148">
        <v>1.3500000000000001E-3</v>
      </c>
      <c r="P14" s="54">
        <f t="shared" si="9"/>
        <v>1.1286</v>
      </c>
      <c r="Q14" s="148"/>
      <c r="R14" s="54">
        <f t="shared" si="10"/>
        <v>0</v>
      </c>
      <c r="S14" s="157">
        <v>9.0999999999999998E-2</v>
      </c>
      <c r="T14" s="54">
        <f t="shared" si="11"/>
        <v>76.075999999999993</v>
      </c>
      <c r="U14" s="148">
        <v>3.5860000000000003E-2</v>
      </c>
      <c r="V14" s="54">
        <f t="shared" si="12"/>
        <v>29.978960000000001</v>
      </c>
      <c r="W14" s="148">
        <v>1.469E-2</v>
      </c>
      <c r="X14" s="54">
        <f t="shared" si="13"/>
        <v>12.28084</v>
      </c>
      <c r="Y14" s="148">
        <v>4.7400000000000003E-3</v>
      </c>
      <c r="Z14" s="54">
        <f t="shared" si="14"/>
        <v>3.9626400000000004</v>
      </c>
      <c r="AA14" s="148">
        <v>0.24740999999999999</v>
      </c>
      <c r="AB14" s="54">
        <f t="shared" si="15"/>
        <v>206.83475999999999</v>
      </c>
      <c r="AC14" s="148">
        <v>2.1800000000000001E-3</v>
      </c>
      <c r="AD14" s="54">
        <f t="shared" si="0"/>
        <v>1.8224800000000001</v>
      </c>
      <c r="AE14" s="165">
        <v>54.7</v>
      </c>
      <c r="AF14" s="165">
        <v>101</v>
      </c>
      <c r="AG14" s="65">
        <v>0</v>
      </c>
      <c r="AH14" s="169">
        <v>0</v>
      </c>
      <c r="AI14" s="54">
        <f t="shared" si="19"/>
        <v>0</v>
      </c>
      <c r="AJ14" s="65">
        <v>7</v>
      </c>
      <c r="AK14" s="169">
        <v>21.774999999999999</v>
      </c>
      <c r="AL14" s="54">
        <f t="shared" si="16"/>
        <v>152.42499999999998</v>
      </c>
      <c r="AM14" s="173">
        <v>0</v>
      </c>
      <c r="AN14" s="166">
        <v>8.5500000000000007</v>
      </c>
      <c r="AO14" s="54">
        <f t="shared" si="17"/>
        <v>0</v>
      </c>
      <c r="AP14" s="56">
        <f t="shared" si="18"/>
        <v>1515.6266800000001</v>
      </c>
      <c r="AQ14" s="132">
        <f t="shared" si="1"/>
        <v>1.8129505741626795</v>
      </c>
      <c r="AR14" s="133">
        <f t="shared" si="2"/>
        <v>1.1156600000000001</v>
      </c>
      <c r="AS14" s="121"/>
    </row>
    <row r="15" spans="1:46" ht="15.75" x14ac:dyDescent="0.25">
      <c r="A15" s="210" t="s">
        <v>0</v>
      </c>
      <c r="B15" s="210"/>
      <c r="C15" s="154">
        <f>SUM(C9:C14)</f>
        <v>11426</v>
      </c>
      <c r="D15" s="126" t="s">
        <v>73</v>
      </c>
      <c r="E15" s="145">
        <f>SUM(E9:E14)</f>
        <v>4669.2119999999995</v>
      </c>
      <c r="F15" s="135">
        <f>SUM(F9:F14)</f>
        <v>572</v>
      </c>
      <c r="G15" s="135">
        <f>SUM(G9:G14)</f>
        <v>10296</v>
      </c>
      <c r="H15" s="126" t="s">
        <v>73</v>
      </c>
      <c r="I15" s="145">
        <f>SUM(I9:I14)</f>
        <v>0</v>
      </c>
      <c r="J15" s="155">
        <f>SUM(J9:J14)</f>
        <v>0</v>
      </c>
      <c r="K15" s="136" t="s">
        <v>5</v>
      </c>
      <c r="L15" s="145">
        <f>SUM(L9:L14)</f>
        <v>1702.4530999999997</v>
      </c>
      <c r="M15" s="136" t="s">
        <v>5</v>
      </c>
      <c r="N15" s="145">
        <f>SUM(N9:N14)</f>
        <v>22.091840000000001</v>
      </c>
      <c r="O15" s="136" t="s">
        <v>5</v>
      </c>
      <c r="P15" s="145">
        <f>SUM(P9:P14)</f>
        <v>517.93323999999996</v>
      </c>
      <c r="Q15" s="136" t="s">
        <v>5</v>
      </c>
      <c r="R15" s="145">
        <f>SUM(R9:R14)</f>
        <v>0</v>
      </c>
      <c r="S15" s="182" t="s">
        <v>5</v>
      </c>
      <c r="T15" s="145">
        <f>SUM(T9:T14)</f>
        <v>532.22221999999999</v>
      </c>
      <c r="U15" s="136" t="s">
        <v>5</v>
      </c>
      <c r="V15" s="145">
        <f>SUM(V9:V14)</f>
        <v>409.7363600000001</v>
      </c>
      <c r="W15" s="136" t="s">
        <v>5</v>
      </c>
      <c r="X15" s="145">
        <f>SUM(X9:X14)</f>
        <v>286.83524000000006</v>
      </c>
      <c r="Y15" s="136" t="s">
        <v>5</v>
      </c>
      <c r="Z15" s="145">
        <f>SUM(Z9:Z14)</f>
        <v>32.635939999999998</v>
      </c>
      <c r="AA15" s="136" t="s">
        <v>5</v>
      </c>
      <c r="AB15" s="145">
        <f>SUM(AB9:AB14)</f>
        <v>3334.5316600000001</v>
      </c>
      <c r="AC15" s="136" t="s">
        <v>5</v>
      </c>
      <c r="AD15" s="145">
        <f>SUM(AD9:AD14)</f>
        <v>24.90868</v>
      </c>
      <c r="AE15" s="184">
        <f>SUM(AE9:AE14)</f>
        <v>562</v>
      </c>
      <c r="AF15" s="184">
        <f>SUM(AF9:AF14)</f>
        <v>837</v>
      </c>
      <c r="AG15" s="134">
        <f>SUM(AG9:AG14)</f>
        <v>3</v>
      </c>
      <c r="AH15" s="136" t="s">
        <v>5</v>
      </c>
      <c r="AI15" s="145">
        <f>SUM(AI9:AI14)</f>
        <v>4720.3559999999998</v>
      </c>
      <c r="AJ15" s="134">
        <f>SUM(AJ9:AJ14)</f>
        <v>26</v>
      </c>
      <c r="AK15" s="136" t="s">
        <v>5</v>
      </c>
      <c r="AL15" s="145">
        <f>SUM(AL9:AL14)</f>
        <v>566.15</v>
      </c>
      <c r="AM15" s="136" t="s">
        <v>5</v>
      </c>
      <c r="AN15" s="126" t="s">
        <v>73</v>
      </c>
      <c r="AO15" s="145">
        <f>SUM(AO9:AO14)</f>
        <v>349.13754</v>
      </c>
      <c r="AP15" s="145">
        <f>SUM(AP9:AP14)</f>
        <v>18567.203820000002</v>
      </c>
      <c r="AQ15" s="137">
        <f>SUM(AQ9:AQ14)</f>
        <v>11.565024550090993</v>
      </c>
      <c r="AR15" s="142">
        <f>(AP15/C15)/($AP$15/$C$15)</f>
        <v>1</v>
      </c>
    </row>
    <row r="16" spans="1:46" x14ac:dyDescent="0.2">
      <c r="C16" s="5"/>
      <c r="AA16" s="5"/>
      <c r="AD16" s="5"/>
      <c r="AE16" s="176"/>
      <c r="AF16" s="176"/>
      <c r="AI16" s="5"/>
      <c r="AL16" s="5"/>
      <c r="AS16" s="4"/>
    </row>
    <row r="17" spans="1:42" x14ac:dyDescent="0.2">
      <c r="C17" s="9"/>
      <c r="AA17" s="5"/>
      <c r="AD17" s="5"/>
      <c r="AE17" s="176"/>
      <c r="AF17" s="176"/>
      <c r="AI17" s="5"/>
      <c r="AL17" s="5"/>
      <c r="AP17" s="4"/>
    </row>
    <row r="18" spans="1:42" x14ac:dyDescent="0.2">
      <c r="D18" s="5" t="s">
        <v>75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 t="s">
        <v>75</v>
      </c>
      <c r="Y18" s="5"/>
      <c r="AM18" s="5" t="s">
        <v>74</v>
      </c>
    </row>
    <row r="19" spans="1:42" ht="15.75" x14ac:dyDescent="0.25">
      <c r="AD19" s="71"/>
      <c r="AE19" s="177"/>
      <c r="AF19" s="177"/>
      <c r="AI19" s="71"/>
      <c r="AL19" s="71"/>
      <c r="AM19" s="5" t="s">
        <v>74</v>
      </c>
    </row>
    <row r="20" spans="1:42" x14ac:dyDescent="0.2">
      <c r="B20" s="5" t="s">
        <v>74</v>
      </c>
    </row>
    <row r="22" spans="1:42" ht="12.75" hidden="1" customHeight="1" x14ac:dyDescent="0.2">
      <c r="A22" s="219" t="s">
        <v>1</v>
      </c>
      <c r="B22" s="219" t="s">
        <v>2</v>
      </c>
      <c r="C22" s="214" t="s">
        <v>76</v>
      </c>
      <c r="D22" s="200" t="s">
        <v>45</v>
      </c>
      <c r="E22" s="139"/>
      <c r="F22" s="139"/>
      <c r="G22" s="139"/>
      <c r="H22" s="139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200" t="s">
        <v>45</v>
      </c>
      <c r="U22" s="138"/>
      <c r="V22" s="214" t="s">
        <v>46</v>
      </c>
      <c r="W22" s="200" t="s">
        <v>47</v>
      </c>
      <c r="X22" s="214" t="s">
        <v>48</v>
      </c>
      <c r="Y22" s="200" t="s">
        <v>49</v>
      </c>
      <c r="Z22" s="214" t="s">
        <v>50</v>
      </c>
      <c r="AA22" s="223"/>
      <c r="AB22" s="223"/>
      <c r="AC22" s="233" t="s">
        <v>51</v>
      </c>
      <c r="AD22" s="200" t="s">
        <v>52</v>
      </c>
      <c r="AE22" s="236" t="s">
        <v>52</v>
      </c>
      <c r="AF22" s="236" t="s">
        <v>52</v>
      </c>
      <c r="AG22" s="200" t="s">
        <v>51</v>
      </c>
      <c r="AH22" s="138"/>
      <c r="AI22" s="200" t="s">
        <v>52</v>
      </c>
      <c r="AJ22" s="200" t="s">
        <v>51</v>
      </c>
      <c r="AK22" s="138"/>
      <c r="AL22" s="200" t="s">
        <v>52</v>
      </c>
      <c r="AM22" s="200" t="s">
        <v>77</v>
      </c>
      <c r="AN22" s="214" t="s">
        <v>78</v>
      </c>
      <c r="AO22" s="200" t="s">
        <v>53</v>
      </c>
    </row>
    <row r="23" spans="1:42" ht="12.75" hidden="1" customHeight="1" x14ac:dyDescent="0.2">
      <c r="A23" s="220"/>
      <c r="B23" s="222"/>
      <c r="C23" s="214"/>
      <c r="D23" s="200"/>
      <c r="E23" s="140"/>
      <c r="F23" s="140"/>
      <c r="G23" s="140"/>
      <c r="H23" s="140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200"/>
      <c r="U23" s="138"/>
      <c r="V23" s="214"/>
      <c r="W23" s="200"/>
      <c r="X23" s="214"/>
      <c r="Y23" s="200"/>
      <c r="Z23" s="214"/>
      <c r="AA23" s="224"/>
      <c r="AB23" s="224"/>
      <c r="AC23" s="234"/>
      <c r="AD23" s="200"/>
      <c r="AE23" s="236"/>
      <c r="AF23" s="236"/>
      <c r="AG23" s="200"/>
      <c r="AH23" s="138"/>
      <c r="AI23" s="200"/>
      <c r="AJ23" s="200"/>
      <c r="AK23" s="138"/>
      <c r="AL23" s="200"/>
      <c r="AM23" s="200"/>
      <c r="AN23" s="214"/>
      <c r="AO23" s="200"/>
    </row>
    <row r="24" spans="1:42" ht="34.5" hidden="1" customHeight="1" x14ac:dyDescent="0.2">
      <c r="A24" s="221"/>
      <c r="B24" s="221"/>
      <c r="C24" s="214"/>
      <c r="D24" s="200"/>
      <c r="E24" s="140"/>
      <c r="F24" s="140"/>
      <c r="G24" s="140"/>
      <c r="H24" s="140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200"/>
      <c r="U24" s="138"/>
      <c r="V24" s="214"/>
      <c r="W24" s="200"/>
      <c r="X24" s="214"/>
      <c r="Y24" s="200"/>
      <c r="Z24" s="214"/>
      <c r="AA24" s="225"/>
      <c r="AB24" s="225"/>
      <c r="AC24" s="235"/>
      <c r="AD24" s="200"/>
      <c r="AE24" s="236"/>
      <c r="AF24" s="236"/>
      <c r="AG24" s="200"/>
      <c r="AH24" s="138"/>
      <c r="AI24" s="200"/>
      <c r="AJ24" s="200"/>
      <c r="AK24" s="138"/>
      <c r="AL24" s="200"/>
      <c r="AM24" s="200"/>
      <c r="AN24" s="214"/>
      <c r="AO24" s="200"/>
    </row>
    <row r="25" spans="1:42" ht="14.25" hidden="1" customHeight="1" thickBot="1" x14ac:dyDescent="0.25">
      <c r="A25" s="226" t="s">
        <v>57</v>
      </c>
      <c r="B25" s="227"/>
      <c r="C25" s="43">
        <v>1</v>
      </c>
      <c r="D25" s="44">
        <v>2</v>
      </c>
      <c r="E25" s="123"/>
      <c r="F25" s="123"/>
      <c r="G25" s="123"/>
      <c r="H25" s="123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>
        <v>2</v>
      </c>
      <c r="U25" s="44"/>
      <c r="V25" s="43" t="s">
        <v>58</v>
      </c>
      <c r="W25" s="44">
        <v>4</v>
      </c>
      <c r="X25" s="43" t="s">
        <v>59</v>
      </c>
      <c r="Y25" s="44">
        <v>6</v>
      </c>
      <c r="Z25" s="43" t="s">
        <v>60</v>
      </c>
      <c r="AA25" s="43"/>
      <c r="AB25" s="43"/>
      <c r="AC25" s="44">
        <v>8</v>
      </c>
      <c r="AD25" s="43">
        <v>9</v>
      </c>
      <c r="AE25" s="178">
        <v>9</v>
      </c>
      <c r="AF25" s="178">
        <v>9</v>
      </c>
      <c r="AG25" s="44">
        <v>8</v>
      </c>
      <c r="AH25" s="44"/>
      <c r="AI25" s="43">
        <v>9</v>
      </c>
      <c r="AJ25" s="44">
        <v>8</v>
      </c>
      <c r="AK25" s="44"/>
      <c r="AL25" s="43">
        <v>9</v>
      </c>
      <c r="AM25" s="44">
        <v>11</v>
      </c>
      <c r="AN25" s="44" t="s">
        <v>61</v>
      </c>
      <c r="AO25" s="44">
        <v>13</v>
      </c>
    </row>
    <row r="26" spans="1:42" ht="17.25" hidden="1" customHeight="1" x14ac:dyDescent="0.2">
      <c r="A26" s="228"/>
      <c r="B26" s="229"/>
      <c r="C26" s="45" t="s">
        <v>62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7"/>
      <c r="W26" s="48"/>
      <c r="X26" s="49"/>
      <c r="Y26" s="48"/>
      <c r="Z26" s="50"/>
      <c r="AA26" s="50"/>
      <c r="AB26" s="50"/>
      <c r="AC26" s="49"/>
      <c r="AD26" s="51">
        <v>4.3E-3</v>
      </c>
      <c r="AE26" s="179">
        <v>4.3E-3</v>
      </c>
      <c r="AF26" s="179">
        <v>4.3E-3</v>
      </c>
      <c r="AG26" s="49"/>
      <c r="AH26" s="49"/>
      <c r="AI26" s="51">
        <v>4.3E-3</v>
      </c>
      <c r="AJ26" s="49"/>
      <c r="AK26" s="49"/>
      <c r="AL26" s="51">
        <v>4.3E-3</v>
      </c>
      <c r="AM26" s="48"/>
      <c r="AN26" s="49"/>
      <c r="AO26" s="48"/>
    </row>
    <row r="27" spans="1:42" ht="15.75" hidden="1" customHeight="1" x14ac:dyDescent="0.25">
      <c r="A27" s="52">
        <v>1</v>
      </c>
      <c r="B27" s="53" t="s">
        <v>63</v>
      </c>
      <c r="C27" s="66">
        <v>33351</v>
      </c>
      <c r="D27" s="72">
        <v>0.496</v>
      </c>
      <c r="E27" s="124"/>
      <c r="F27" s="124"/>
      <c r="G27" s="124"/>
      <c r="H27" s="124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>
        <v>0.496</v>
      </c>
      <c r="U27" s="72"/>
      <c r="V27" s="68">
        <f t="shared" ref="V27:V45" si="20">C27*D27</f>
        <v>16542.096000000001</v>
      </c>
      <c r="W27" s="73">
        <v>0.06</v>
      </c>
      <c r="X27" s="58">
        <f t="shared" ref="X27:X45" si="21">W27*C27</f>
        <v>2001.06</v>
      </c>
      <c r="Y27" s="55">
        <v>0.40899999999999997</v>
      </c>
      <c r="Z27" s="63">
        <f t="shared" ref="Z27:Z45" si="22">Y27*C27</f>
        <v>13640.558999999999</v>
      </c>
      <c r="AA27" s="57"/>
      <c r="AB27" s="58"/>
      <c r="AC27" s="59">
        <v>88.1</v>
      </c>
      <c r="AD27" s="60">
        <v>3.3E-3</v>
      </c>
      <c r="AE27" s="180">
        <v>3.3E-3</v>
      </c>
      <c r="AF27" s="180">
        <v>3.3E-3</v>
      </c>
      <c r="AG27" s="59">
        <v>88.1</v>
      </c>
      <c r="AH27" s="59"/>
      <c r="AI27" s="60">
        <v>3.3E-3</v>
      </c>
      <c r="AJ27" s="59">
        <v>88.1</v>
      </c>
      <c r="AK27" s="59"/>
      <c r="AL27" s="60">
        <v>3.3E-3</v>
      </c>
      <c r="AM27" s="60"/>
      <c r="AN27" s="74">
        <v>127</v>
      </c>
      <c r="AO27" s="75">
        <v>3.7000000000000002E-3</v>
      </c>
    </row>
    <row r="28" spans="1:42" ht="15.75" hidden="1" customHeight="1" x14ac:dyDescent="0.25">
      <c r="A28" s="61">
        <v>2</v>
      </c>
      <c r="B28" s="62" t="s">
        <v>64</v>
      </c>
      <c r="C28" s="66">
        <v>5340</v>
      </c>
      <c r="D28" s="72">
        <v>0.496</v>
      </c>
      <c r="E28" s="124"/>
      <c r="F28" s="124"/>
      <c r="G28" s="124"/>
      <c r="H28" s="124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>
        <v>0.496</v>
      </c>
      <c r="U28" s="72"/>
      <c r="V28" s="68">
        <f t="shared" si="20"/>
        <v>2648.64</v>
      </c>
      <c r="W28" s="73">
        <v>0.15</v>
      </c>
      <c r="X28" s="58">
        <f t="shared" si="21"/>
        <v>801</v>
      </c>
      <c r="Y28" s="55">
        <v>0.40899999999999997</v>
      </c>
      <c r="Z28" s="64">
        <f t="shared" si="22"/>
        <v>2184.06</v>
      </c>
      <c r="AA28" s="57"/>
      <c r="AB28" s="58"/>
      <c r="AC28" s="59">
        <v>15.2</v>
      </c>
      <c r="AD28" s="60">
        <v>3.3E-3</v>
      </c>
      <c r="AE28" s="180">
        <v>3.3E-3</v>
      </c>
      <c r="AF28" s="180">
        <v>3.3E-3</v>
      </c>
      <c r="AG28" s="59">
        <v>15.2</v>
      </c>
      <c r="AH28" s="59"/>
      <c r="AI28" s="60">
        <v>3.3E-3</v>
      </c>
      <c r="AJ28" s="59">
        <v>15.2</v>
      </c>
      <c r="AK28" s="59"/>
      <c r="AL28" s="60">
        <v>3.3E-3</v>
      </c>
      <c r="AM28" s="60"/>
      <c r="AN28" s="76">
        <v>127</v>
      </c>
      <c r="AO28" s="75">
        <v>3.7000000000000002E-3</v>
      </c>
    </row>
    <row r="29" spans="1:42" ht="15.75" hidden="1" customHeight="1" x14ac:dyDescent="0.25">
      <c r="A29" s="61">
        <v>3</v>
      </c>
      <c r="B29" s="62" t="s">
        <v>65</v>
      </c>
      <c r="C29" s="66">
        <v>5077</v>
      </c>
      <c r="D29" s="72">
        <v>0.496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>
        <v>0.496</v>
      </c>
      <c r="U29" s="72"/>
      <c r="V29" s="68">
        <f t="shared" si="20"/>
        <v>2518.192</v>
      </c>
      <c r="W29" s="73">
        <v>0.15</v>
      </c>
      <c r="X29" s="58">
        <f t="shared" si="21"/>
        <v>761.55</v>
      </c>
      <c r="Y29" s="55">
        <v>0.40899999999999997</v>
      </c>
      <c r="Z29" s="64">
        <f t="shared" si="22"/>
        <v>2076.4929999999999</v>
      </c>
      <c r="AA29" s="57"/>
      <c r="AB29" s="58"/>
      <c r="AC29" s="59">
        <v>10.199999999999999</v>
      </c>
      <c r="AD29" s="60">
        <v>3.3E-3</v>
      </c>
      <c r="AE29" s="180">
        <v>3.3E-3</v>
      </c>
      <c r="AF29" s="180">
        <v>3.3E-3</v>
      </c>
      <c r="AG29" s="59">
        <v>10.199999999999999</v>
      </c>
      <c r="AH29" s="59"/>
      <c r="AI29" s="60">
        <v>3.3E-3</v>
      </c>
      <c r="AJ29" s="59">
        <v>10.199999999999999</v>
      </c>
      <c r="AK29" s="59"/>
      <c r="AL29" s="60">
        <v>3.3E-3</v>
      </c>
      <c r="AM29" s="60"/>
      <c r="AN29" s="76">
        <v>127</v>
      </c>
      <c r="AO29" s="75">
        <v>3.7000000000000002E-3</v>
      </c>
    </row>
    <row r="30" spans="1:42" ht="15.75" hidden="1" customHeight="1" x14ac:dyDescent="0.25">
      <c r="A30" s="61">
        <v>4</v>
      </c>
      <c r="B30" s="62" t="s">
        <v>66</v>
      </c>
      <c r="C30" s="66">
        <v>6359</v>
      </c>
      <c r="D30" s="72">
        <v>0.496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>
        <v>0.496</v>
      </c>
      <c r="U30" s="72"/>
      <c r="V30" s="68">
        <f t="shared" si="20"/>
        <v>3154.0639999999999</v>
      </c>
      <c r="W30" s="73">
        <v>0.15</v>
      </c>
      <c r="X30" s="58">
        <f t="shared" si="21"/>
        <v>953.84999999999991</v>
      </c>
      <c r="Y30" s="55">
        <v>0.40899999999999997</v>
      </c>
      <c r="Z30" s="64">
        <f t="shared" si="22"/>
        <v>2600.8309999999997</v>
      </c>
      <c r="AA30" s="57"/>
      <c r="AB30" s="58"/>
      <c r="AC30" s="59">
        <v>6.8</v>
      </c>
      <c r="AD30" s="60">
        <v>3.3E-3</v>
      </c>
      <c r="AE30" s="180">
        <v>3.3E-3</v>
      </c>
      <c r="AF30" s="180">
        <v>3.3E-3</v>
      </c>
      <c r="AG30" s="59">
        <v>6.8</v>
      </c>
      <c r="AH30" s="59"/>
      <c r="AI30" s="60">
        <v>3.3E-3</v>
      </c>
      <c r="AJ30" s="59">
        <v>6.8</v>
      </c>
      <c r="AK30" s="59"/>
      <c r="AL30" s="60">
        <v>3.3E-3</v>
      </c>
      <c r="AM30" s="60"/>
      <c r="AN30" s="76">
        <v>127</v>
      </c>
      <c r="AO30" s="75">
        <v>3.7000000000000002E-3</v>
      </c>
    </row>
    <row r="31" spans="1:42" ht="15.75" hidden="1" customHeight="1" x14ac:dyDescent="0.25">
      <c r="A31" s="61">
        <v>5</v>
      </c>
      <c r="B31" s="62" t="s">
        <v>67</v>
      </c>
      <c r="C31" s="66">
        <v>4707</v>
      </c>
      <c r="D31" s="72">
        <v>0.496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>
        <v>0.496</v>
      </c>
      <c r="U31" s="72"/>
      <c r="V31" s="68">
        <f t="shared" si="20"/>
        <v>2334.672</v>
      </c>
      <c r="W31" s="73">
        <v>0.2</v>
      </c>
      <c r="X31" s="58">
        <f t="shared" si="21"/>
        <v>941.40000000000009</v>
      </c>
      <c r="Y31" s="55">
        <v>0.40899999999999997</v>
      </c>
      <c r="Z31" s="64">
        <f t="shared" si="22"/>
        <v>1925.1629999999998</v>
      </c>
      <c r="AA31" s="57"/>
      <c r="AB31" s="58"/>
      <c r="AC31" s="59">
        <v>6.4</v>
      </c>
      <c r="AD31" s="60">
        <v>3.3E-3</v>
      </c>
      <c r="AE31" s="180">
        <v>3.3E-3</v>
      </c>
      <c r="AF31" s="180">
        <v>3.3E-3</v>
      </c>
      <c r="AG31" s="59">
        <v>6.4</v>
      </c>
      <c r="AH31" s="59"/>
      <c r="AI31" s="60">
        <v>3.3E-3</v>
      </c>
      <c r="AJ31" s="59">
        <v>6.4</v>
      </c>
      <c r="AK31" s="59"/>
      <c r="AL31" s="60">
        <v>3.3E-3</v>
      </c>
      <c r="AM31" s="60"/>
      <c r="AN31" s="76">
        <v>127</v>
      </c>
      <c r="AO31" s="75">
        <v>3.7000000000000002E-3</v>
      </c>
    </row>
    <row r="32" spans="1:42" ht="15.75" hidden="1" customHeight="1" x14ac:dyDescent="0.25">
      <c r="A32" s="61">
        <v>6</v>
      </c>
      <c r="B32" s="62" t="s">
        <v>68</v>
      </c>
      <c r="C32" s="66">
        <v>1875</v>
      </c>
      <c r="D32" s="77">
        <v>0.59830000000000005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0.59830000000000005</v>
      </c>
      <c r="U32" s="77"/>
      <c r="V32" s="68">
        <f t="shared" si="20"/>
        <v>1121.8125</v>
      </c>
      <c r="W32" s="73">
        <v>0.3</v>
      </c>
      <c r="X32" s="58">
        <f t="shared" si="21"/>
        <v>562.5</v>
      </c>
      <c r="Y32" s="55">
        <v>0.23</v>
      </c>
      <c r="Z32" s="64">
        <f t="shared" si="22"/>
        <v>431.25</v>
      </c>
      <c r="AA32" s="64"/>
      <c r="AB32" s="58"/>
      <c r="AC32" s="59">
        <v>8.6999999999999993</v>
      </c>
      <c r="AD32" s="60">
        <v>3.3E-3</v>
      </c>
      <c r="AE32" s="180">
        <v>3.3E-3</v>
      </c>
      <c r="AF32" s="180">
        <v>3.3E-3</v>
      </c>
      <c r="AG32" s="59">
        <v>8.6999999999999993</v>
      </c>
      <c r="AH32" s="59"/>
      <c r="AI32" s="60">
        <v>3.3E-3</v>
      </c>
      <c r="AJ32" s="59">
        <v>8.6999999999999993</v>
      </c>
      <c r="AK32" s="59"/>
      <c r="AL32" s="60">
        <v>3.3E-3</v>
      </c>
      <c r="AM32" s="60"/>
      <c r="AN32" s="76">
        <v>127</v>
      </c>
      <c r="AO32" s="75">
        <v>2.5999999999999999E-3</v>
      </c>
    </row>
    <row r="33" spans="1:41" ht="15.75" hidden="1" customHeight="1" x14ac:dyDescent="0.25">
      <c r="A33" s="61">
        <v>7</v>
      </c>
      <c r="B33" s="62" t="s">
        <v>69</v>
      </c>
      <c r="C33" s="66">
        <v>2513</v>
      </c>
      <c r="D33" s="77">
        <v>0.59830000000000005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0.59830000000000005</v>
      </c>
      <c r="U33" s="77"/>
      <c r="V33" s="68">
        <f t="shared" si="20"/>
        <v>1503.5279</v>
      </c>
      <c r="W33" s="73">
        <v>0.3</v>
      </c>
      <c r="X33" s="58">
        <f t="shared" si="21"/>
        <v>753.9</v>
      </c>
      <c r="Y33" s="55">
        <v>0.23</v>
      </c>
      <c r="Z33" s="64">
        <f t="shared" si="22"/>
        <v>577.99</v>
      </c>
      <c r="AA33" s="64"/>
      <c r="AB33" s="58"/>
      <c r="AC33" s="59">
        <v>7</v>
      </c>
      <c r="AD33" s="60">
        <v>3.3E-3</v>
      </c>
      <c r="AE33" s="180">
        <v>3.3E-3</v>
      </c>
      <c r="AF33" s="180">
        <v>3.3E-3</v>
      </c>
      <c r="AG33" s="59">
        <v>7</v>
      </c>
      <c r="AH33" s="59"/>
      <c r="AI33" s="60">
        <v>3.3E-3</v>
      </c>
      <c r="AJ33" s="59">
        <v>7</v>
      </c>
      <c r="AK33" s="59"/>
      <c r="AL33" s="60">
        <v>3.3E-3</v>
      </c>
      <c r="AM33" s="60"/>
      <c r="AN33" s="76">
        <v>127</v>
      </c>
      <c r="AO33" s="75">
        <v>2.5999999999999999E-3</v>
      </c>
    </row>
    <row r="34" spans="1:41" ht="15.75" hidden="1" customHeight="1" x14ac:dyDescent="0.25">
      <c r="A34" s="61">
        <v>8</v>
      </c>
      <c r="B34" s="62" t="s">
        <v>70</v>
      </c>
      <c r="C34" s="66">
        <v>595</v>
      </c>
      <c r="D34" s="77">
        <v>0.59830000000000005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0.59830000000000005</v>
      </c>
      <c r="U34" s="77"/>
      <c r="V34" s="56">
        <f t="shared" si="20"/>
        <v>355.98850000000004</v>
      </c>
      <c r="W34" s="73">
        <v>0.5</v>
      </c>
      <c r="X34" s="58">
        <f t="shared" si="21"/>
        <v>297.5</v>
      </c>
      <c r="Y34" s="55">
        <v>0.23</v>
      </c>
      <c r="Z34" s="64">
        <f t="shared" si="22"/>
        <v>136.85</v>
      </c>
      <c r="AA34" s="64"/>
      <c r="AB34" s="58"/>
      <c r="AC34" s="59">
        <v>0.5</v>
      </c>
      <c r="AD34" s="60"/>
      <c r="AE34" s="180"/>
      <c r="AF34" s="180"/>
      <c r="AG34" s="59">
        <v>0.5</v>
      </c>
      <c r="AH34" s="59"/>
      <c r="AI34" s="60"/>
      <c r="AJ34" s="59">
        <v>0.5</v>
      </c>
      <c r="AK34" s="59"/>
      <c r="AL34" s="60"/>
      <c r="AM34" s="60"/>
      <c r="AN34" s="76">
        <v>127</v>
      </c>
      <c r="AO34" s="75">
        <v>2.5999999999999999E-3</v>
      </c>
    </row>
    <row r="35" spans="1:41" ht="15.75" hidden="1" customHeight="1" x14ac:dyDescent="0.25">
      <c r="A35" s="61">
        <v>9</v>
      </c>
      <c r="B35" s="62" t="s">
        <v>71</v>
      </c>
      <c r="C35" s="66">
        <v>2240</v>
      </c>
      <c r="D35" s="77">
        <v>0.59830000000000005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0.59830000000000005</v>
      </c>
      <c r="U35" s="77"/>
      <c r="V35" s="56">
        <f t="shared" si="20"/>
        <v>1340.192</v>
      </c>
      <c r="W35" s="73">
        <v>0.3</v>
      </c>
      <c r="X35" s="58">
        <f t="shared" si="21"/>
        <v>672</v>
      </c>
      <c r="Y35" s="55">
        <v>0.23</v>
      </c>
      <c r="Z35" s="64">
        <f t="shared" si="22"/>
        <v>515.20000000000005</v>
      </c>
      <c r="AA35" s="64"/>
      <c r="AB35" s="58"/>
      <c r="AC35" s="59">
        <v>5.8</v>
      </c>
      <c r="AD35" s="60">
        <v>3.3E-3</v>
      </c>
      <c r="AE35" s="180">
        <v>3.3E-3</v>
      </c>
      <c r="AF35" s="180">
        <v>3.3E-3</v>
      </c>
      <c r="AG35" s="59">
        <v>5.8</v>
      </c>
      <c r="AH35" s="59"/>
      <c r="AI35" s="60">
        <v>3.3E-3</v>
      </c>
      <c r="AJ35" s="59">
        <v>5.8</v>
      </c>
      <c r="AK35" s="59"/>
      <c r="AL35" s="60">
        <v>3.3E-3</v>
      </c>
      <c r="AM35" s="60"/>
      <c r="AN35" s="76">
        <v>127</v>
      </c>
      <c r="AO35" s="75">
        <v>2.5999999999999999E-3</v>
      </c>
    </row>
    <row r="36" spans="1:41" ht="15.75" hidden="1" customHeight="1" x14ac:dyDescent="0.25">
      <c r="A36" s="61">
        <v>10</v>
      </c>
      <c r="B36" s="62" t="s">
        <v>72</v>
      </c>
      <c r="C36" s="66">
        <v>386</v>
      </c>
      <c r="D36" s="77">
        <v>0.59830000000000005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0.59830000000000005</v>
      </c>
      <c r="U36" s="77"/>
      <c r="V36" s="68">
        <f t="shared" si="20"/>
        <v>230.94380000000001</v>
      </c>
      <c r="W36" s="73">
        <v>0.5</v>
      </c>
      <c r="X36" s="58">
        <f t="shared" si="21"/>
        <v>193</v>
      </c>
      <c r="Y36" s="55">
        <v>0.23</v>
      </c>
      <c r="Z36" s="64">
        <f t="shared" si="22"/>
        <v>88.78</v>
      </c>
      <c r="AA36" s="64"/>
      <c r="AB36" s="58"/>
      <c r="AC36" s="65"/>
      <c r="AD36" s="60"/>
      <c r="AE36" s="180"/>
      <c r="AF36" s="180"/>
      <c r="AG36" s="65"/>
      <c r="AH36" s="65"/>
      <c r="AI36" s="60"/>
      <c r="AJ36" s="65"/>
      <c r="AK36" s="65"/>
      <c r="AL36" s="60"/>
      <c r="AM36" s="60"/>
      <c r="AN36" s="76">
        <v>127</v>
      </c>
      <c r="AO36" s="75">
        <v>2.5999999999999999E-3</v>
      </c>
    </row>
    <row r="37" spans="1:41" ht="15.75" hidden="1" customHeight="1" x14ac:dyDescent="0.25">
      <c r="A37" s="61">
        <v>11</v>
      </c>
      <c r="B37" s="62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8">
        <f t="shared" si="20"/>
        <v>0</v>
      </c>
      <c r="W37" s="59"/>
      <c r="X37" s="58">
        <f t="shared" si="21"/>
        <v>0</v>
      </c>
      <c r="Y37" s="69"/>
      <c r="Z37" s="58">
        <f t="shared" si="22"/>
        <v>0</v>
      </c>
      <c r="AA37" s="58"/>
      <c r="AB37" s="58"/>
      <c r="AC37" s="65"/>
      <c r="AD37" s="60"/>
      <c r="AE37" s="180"/>
      <c r="AF37" s="180"/>
      <c r="AG37" s="65"/>
      <c r="AH37" s="65"/>
      <c r="AI37" s="60"/>
      <c r="AJ37" s="65"/>
      <c r="AK37" s="65"/>
      <c r="AL37" s="60"/>
      <c r="AM37" s="60"/>
      <c r="AN37" s="58"/>
      <c r="AO37" s="60"/>
    </row>
    <row r="38" spans="1:41" ht="15.75" hidden="1" customHeight="1" x14ac:dyDescent="0.25">
      <c r="A38" s="61">
        <v>12</v>
      </c>
      <c r="B38" s="62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8">
        <f t="shared" si="20"/>
        <v>0</v>
      </c>
      <c r="W38" s="59"/>
      <c r="X38" s="58">
        <f t="shared" si="21"/>
        <v>0</v>
      </c>
      <c r="Y38" s="69"/>
      <c r="Z38" s="58">
        <f t="shared" si="22"/>
        <v>0</v>
      </c>
      <c r="AA38" s="58"/>
      <c r="AB38" s="58"/>
      <c r="AC38" s="65"/>
      <c r="AD38" s="60"/>
      <c r="AE38" s="180"/>
      <c r="AF38" s="180"/>
      <c r="AG38" s="65"/>
      <c r="AH38" s="65"/>
      <c r="AI38" s="60"/>
      <c r="AJ38" s="65"/>
      <c r="AK38" s="65"/>
      <c r="AL38" s="60"/>
      <c r="AM38" s="60"/>
      <c r="AN38" s="58"/>
      <c r="AO38" s="60"/>
    </row>
    <row r="39" spans="1:41" ht="15.75" hidden="1" customHeight="1" x14ac:dyDescent="0.25">
      <c r="A39" s="61">
        <v>13</v>
      </c>
      <c r="B39" s="62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8">
        <f t="shared" si="20"/>
        <v>0</v>
      </c>
      <c r="W39" s="59"/>
      <c r="X39" s="58">
        <f t="shared" si="21"/>
        <v>0</v>
      </c>
      <c r="Y39" s="69"/>
      <c r="Z39" s="58">
        <f t="shared" si="22"/>
        <v>0</v>
      </c>
      <c r="AA39" s="58"/>
      <c r="AB39" s="58"/>
      <c r="AC39" s="65"/>
      <c r="AD39" s="60"/>
      <c r="AE39" s="180"/>
      <c r="AF39" s="180"/>
      <c r="AG39" s="65"/>
      <c r="AH39" s="65"/>
      <c r="AI39" s="60"/>
      <c r="AJ39" s="65"/>
      <c r="AK39" s="65"/>
      <c r="AL39" s="60"/>
      <c r="AM39" s="60"/>
      <c r="AN39" s="58"/>
      <c r="AO39" s="60"/>
    </row>
    <row r="40" spans="1:41" ht="15.75" hidden="1" customHeight="1" x14ac:dyDescent="0.25">
      <c r="A40" s="61">
        <v>14</v>
      </c>
      <c r="B40" s="62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8">
        <f t="shared" si="20"/>
        <v>0</v>
      </c>
      <c r="W40" s="59"/>
      <c r="X40" s="58">
        <f t="shared" si="21"/>
        <v>0</v>
      </c>
      <c r="Y40" s="69"/>
      <c r="Z40" s="58">
        <f t="shared" si="22"/>
        <v>0</v>
      </c>
      <c r="AA40" s="58"/>
      <c r="AB40" s="58"/>
      <c r="AC40" s="65"/>
      <c r="AD40" s="60"/>
      <c r="AE40" s="180"/>
      <c r="AF40" s="180"/>
      <c r="AG40" s="65"/>
      <c r="AH40" s="65"/>
      <c r="AI40" s="60"/>
      <c r="AJ40" s="65"/>
      <c r="AK40" s="65"/>
      <c r="AL40" s="60"/>
      <c r="AM40" s="60"/>
      <c r="AN40" s="58"/>
      <c r="AO40" s="60"/>
    </row>
    <row r="41" spans="1:41" ht="15.75" hidden="1" customHeight="1" x14ac:dyDescent="0.25">
      <c r="A41" s="61">
        <v>15</v>
      </c>
      <c r="B41" s="62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8">
        <f t="shared" si="20"/>
        <v>0</v>
      </c>
      <c r="W41" s="59"/>
      <c r="X41" s="58">
        <f t="shared" si="21"/>
        <v>0</v>
      </c>
      <c r="Y41" s="69"/>
      <c r="Z41" s="58">
        <f t="shared" si="22"/>
        <v>0</v>
      </c>
      <c r="AA41" s="58"/>
      <c r="AB41" s="58"/>
      <c r="AC41" s="65"/>
      <c r="AD41" s="60"/>
      <c r="AE41" s="180"/>
      <c r="AF41" s="180"/>
      <c r="AG41" s="65"/>
      <c r="AH41" s="65"/>
      <c r="AI41" s="60"/>
      <c r="AJ41" s="65"/>
      <c r="AK41" s="65"/>
      <c r="AL41" s="60"/>
      <c r="AM41" s="60"/>
      <c r="AN41" s="58"/>
      <c r="AO41" s="60"/>
    </row>
    <row r="42" spans="1:41" ht="15.75" hidden="1" customHeight="1" x14ac:dyDescent="0.25">
      <c r="A42" s="61">
        <v>16</v>
      </c>
      <c r="B42" s="62"/>
      <c r="C42" s="66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8">
        <f t="shared" si="20"/>
        <v>0</v>
      </c>
      <c r="W42" s="59"/>
      <c r="X42" s="58">
        <f t="shared" si="21"/>
        <v>0</v>
      </c>
      <c r="Y42" s="69"/>
      <c r="Z42" s="58">
        <f t="shared" si="22"/>
        <v>0</v>
      </c>
      <c r="AA42" s="58"/>
      <c r="AB42" s="58"/>
      <c r="AC42" s="65"/>
      <c r="AD42" s="60"/>
      <c r="AE42" s="180"/>
      <c r="AF42" s="180"/>
      <c r="AG42" s="65"/>
      <c r="AH42" s="65"/>
      <c r="AI42" s="60"/>
      <c r="AJ42" s="65"/>
      <c r="AK42" s="65"/>
      <c r="AL42" s="60"/>
      <c r="AM42" s="60"/>
      <c r="AN42" s="58"/>
      <c r="AO42" s="60"/>
    </row>
    <row r="43" spans="1:41" ht="15.75" hidden="1" customHeight="1" x14ac:dyDescent="0.25">
      <c r="A43" s="61">
        <v>17</v>
      </c>
      <c r="B43" s="62"/>
      <c r="C43" s="66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8">
        <f t="shared" si="20"/>
        <v>0</v>
      </c>
      <c r="W43" s="59"/>
      <c r="X43" s="58">
        <f t="shared" si="21"/>
        <v>0</v>
      </c>
      <c r="Y43" s="69"/>
      <c r="Z43" s="58">
        <f t="shared" si="22"/>
        <v>0</v>
      </c>
      <c r="AA43" s="58"/>
      <c r="AB43" s="58"/>
      <c r="AC43" s="65"/>
      <c r="AD43" s="60"/>
      <c r="AE43" s="180"/>
      <c r="AF43" s="180"/>
      <c r="AG43" s="65"/>
      <c r="AH43" s="65"/>
      <c r="AI43" s="60"/>
      <c r="AJ43" s="65"/>
      <c r="AK43" s="65"/>
      <c r="AL43" s="60"/>
      <c r="AM43" s="60"/>
      <c r="AN43" s="58"/>
      <c r="AO43" s="60"/>
    </row>
    <row r="44" spans="1:41" ht="15.75" hidden="1" customHeight="1" x14ac:dyDescent="0.25">
      <c r="A44" s="61">
        <v>18</v>
      </c>
      <c r="B44" s="62"/>
      <c r="C44" s="66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8">
        <f t="shared" si="20"/>
        <v>0</v>
      </c>
      <c r="W44" s="59"/>
      <c r="X44" s="58">
        <f t="shared" si="21"/>
        <v>0</v>
      </c>
      <c r="Y44" s="69"/>
      <c r="Z44" s="58">
        <f t="shared" si="22"/>
        <v>0</v>
      </c>
      <c r="AA44" s="58"/>
      <c r="AB44" s="58"/>
      <c r="AC44" s="65"/>
      <c r="AD44" s="60"/>
      <c r="AE44" s="180"/>
      <c r="AF44" s="180"/>
      <c r="AG44" s="65"/>
      <c r="AH44" s="65"/>
      <c r="AI44" s="60"/>
      <c r="AJ44" s="65"/>
      <c r="AK44" s="65"/>
      <c r="AL44" s="60"/>
      <c r="AM44" s="60"/>
      <c r="AN44" s="58"/>
      <c r="AO44" s="60"/>
    </row>
    <row r="45" spans="1:41" ht="15.75" hidden="1" customHeight="1" x14ac:dyDescent="0.25">
      <c r="A45" s="61">
        <v>19</v>
      </c>
      <c r="B45" s="62"/>
      <c r="C45" s="66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8">
        <f t="shared" si="20"/>
        <v>0</v>
      </c>
      <c r="W45" s="59"/>
      <c r="X45" s="58">
        <f t="shared" si="21"/>
        <v>0</v>
      </c>
      <c r="Y45" s="69"/>
      <c r="Z45" s="58">
        <f t="shared" si="22"/>
        <v>0</v>
      </c>
      <c r="AA45" s="58"/>
      <c r="AB45" s="58"/>
      <c r="AC45" s="65"/>
      <c r="AD45" s="60"/>
      <c r="AE45" s="180"/>
      <c r="AF45" s="180"/>
      <c r="AG45" s="65"/>
      <c r="AH45" s="65"/>
      <c r="AI45" s="60"/>
      <c r="AJ45" s="65"/>
      <c r="AK45" s="65"/>
      <c r="AL45" s="60"/>
      <c r="AM45" s="60"/>
      <c r="AN45" s="58"/>
      <c r="AO45" s="60"/>
    </row>
    <row r="46" spans="1:41" ht="16.5" hidden="1" customHeight="1" thickBot="1" x14ac:dyDescent="0.3">
      <c r="A46" s="230" t="s">
        <v>0</v>
      </c>
      <c r="B46" s="231"/>
      <c r="C46" s="70">
        <f>SUM(C27:C45)</f>
        <v>62443</v>
      </c>
      <c r="D46" s="70" t="s">
        <v>73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 t="s">
        <v>73</v>
      </c>
      <c r="U46" s="70"/>
      <c r="V46" s="70">
        <f>SUM(V27:V45)</f>
        <v>31750.128699999997</v>
      </c>
      <c r="W46" s="70" t="s">
        <v>73</v>
      </c>
      <c r="X46" s="70">
        <f>SUM(X27:X45)</f>
        <v>7937.7599999999984</v>
      </c>
      <c r="Y46" s="70" t="s">
        <v>73</v>
      </c>
      <c r="Z46" s="70">
        <f>SUM(Z27:Z45)</f>
        <v>24177.175999999996</v>
      </c>
      <c r="AA46" s="70"/>
      <c r="AB46" s="70"/>
      <c r="AC46" s="70">
        <f>SUM(AC27:AC45)</f>
        <v>148.70000000000002</v>
      </c>
      <c r="AD46" s="70" t="s">
        <v>73</v>
      </c>
      <c r="AE46" s="181" t="s">
        <v>73</v>
      </c>
      <c r="AF46" s="181" t="s">
        <v>73</v>
      </c>
      <c r="AG46" s="70">
        <f>SUM(AG27:AG45)</f>
        <v>148.70000000000002</v>
      </c>
      <c r="AH46" s="70"/>
      <c r="AI46" s="70" t="s">
        <v>73</v>
      </c>
      <c r="AJ46" s="70">
        <f>SUM(AJ27:AJ45)</f>
        <v>148.70000000000002</v>
      </c>
      <c r="AK46" s="70"/>
      <c r="AL46" s="70" t="s">
        <v>73</v>
      </c>
      <c r="AM46" s="70" t="s">
        <v>73</v>
      </c>
      <c r="AN46" s="70">
        <f>SUM(AN27:AN45)</f>
        <v>1270</v>
      </c>
      <c r="AO46" s="70" t="s">
        <v>73</v>
      </c>
    </row>
    <row r="47" spans="1:41" ht="12.75" hidden="1" customHeight="1" x14ac:dyDescent="0.2">
      <c r="C47" s="5"/>
      <c r="W47" s="5"/>
      <c r="Z47" s="5"/>
      <c r="AA47" s="5"/>
      <c r="AB47" s="5"/>
    </row>
    <row r="48" spans="1:41" x14ac:dyDescent="0.2">
      <c r="C48" s="9"/>
      <c r="W48" s="5"/>
      <c r="Z48" s="5"/>
      <c r="AA48" s="5"/>
      <c r="AB48" s="5"/>
    </row>
    <row r="49" spans="4:42" x14ac:dyDescent="0.2">
      <c r="Y49" s="1" t="s">
        <v>74</v>
      </c>
    </row>
    <row r="50" spans="4:42" x14ac:dyDescent="0.2">
      <c r="V50" s="1" t="s">
        <v>74</v>
      </c>
      <c r="X50" s="1" t="s">
        <v>74</v>
      </c>
      <c r="AC50" s="1" t="s">
        <v>74</v>
      </c>
      <c r="AG50" s="1" t="s">
        <v>74</v>
      </c>
      <c r="AJ50" s="1" t="s">
        <v>74</v>
      </c>
      <c r="AM50" s="5"/>
    </row>
    <row r="51" spans="4:42" x14ac:dyDescent="0.2">
      <c r="D51" s="5" t="s">
        <v>74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74</v>
      </c>
      <c r="U51" s="5"/>
      <c r="V51" s="5" t="s">
        <v>74</v>
      </c>
      <c r="X51" s="5"/>
    </row>
    <row r="52" spans="4:42" x14ac:dyDescent="0.2">
      <c r="D52" s="5" t="s">
        <v>74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 t="s">
        <v>74</v>
      </c>
      <c r="U52" s="5"/>
      <c r="V52" s="5" t="s">
        <v>74</v>
      </c>
      <c r="X52" s="1" t="s">
        <v>74</v>
      </c>
      <c r="Y52" s="1" t="s">
        <v>74</v>
      </c>
      <c r="AC52" s="1" t="s">
        <v>74</v>
      </c>
      <c r="AG52" s="1" t="s">
        <v>74</v>
      </c>
      <c r="AJ52" s="1" t="s">
        <v>74</v>
      </c>
      <c r="AN52" s="1" t="s">
        <v>74</v>
      </c>
    </row>
    <row r="53" spans="4:42" x14ac:dyDescent="0.2">
      <c r="D53" s="5" t="s">
        <v>74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 t="s">
        <v>74</v>
      </c>
      <c r="U53" s="5"/>
    </row>
    <row r="54" spans="4:42" x14ac:dyDescent="0.2">
      <c r="AM54" s="1" t="s">
        <v>74</v>
      </c>
    </row>
    <row r="55" spans="4:42" x14ac:dyDescent="0.2">
      <c r="AD55" s="1" t="s">
        <v>74</v>
      </c>
      <c r="AE55" s="19" t="s">
        <v>74</v>
      </c>
      <c r="AF55" s="19" t="s">
        <v>74</v>
      </c>
      <c r="AI55" s="1" t="s">
        <v>74</v>
      </c>
      <c r="AL55" s="1" t="s">
        <v>74</v>
      </c>
    </row>
    <row r="56" spans="4:42" x14ac:dyDescent="0.2">
      <c r="AD56" s="1" t="s">
        <v>74</v>
      </c>
      <c r="AE56" s="19" t="s">
        <v>74</v>
      </c>
      <c r="AF56" s="19" t="s">
        <v>74</v>
      </c>
      <c r="AI56" s="1" t="s">
        <v>74</v>
      </c>
      <c r="AL56" s="1" t="s">
        <v>74</v>
      </c>
      <c r="AM56" s="5" t="s">
        <v>74</v>
      </c>
    </row>
    <row r="58" spans="4:42" x14ac:dyDescent="0.2">
      <c r="AM58" s="1" t="s">
        <v>74</v>
      </c>
      <c r="AP58" s="1" t="s">
        <v>74</v>
      </c>
    </row>
    <row r="62" spans="4:42" x14ac:dyDescent="0.2">
      <c r="AP62" s="1" t="s">
        <v>74</v>
      </c>
    </row>
  </sheetData>
  <mergeCells count="73">
    <mergeCell ref="AR4:AR6"/>
    <mergeCell ref="V22:V24"/>
    <mergeCell ref="W22:W24"/>
    <mergeCell ref="X22:X24"/>
    <mergeCell ref="Y22:Y24"/>
    <mergeCell ref="AC22:AC24"/>
    <mergeCell ref="AD22:AD24"/>
    <mergeCell ref="AE22:AE24"/>
    <mergeCell ref="AF22:AF24"/>
    <mergeCell ref="AG22:AG24"/>
    <mergeCell ref="AI22:AI24"/>
    <mergeCell ref="AJ22:AJ24"/>
    <mergeCell ref="AL22:AL24"/>
    <mergeCell ref="AM22:AM24"/>
    <mergeCell ref="AN22:AN24"/>
    <mergeCell ref="AO22:AO24"/>
    <mergeCell ref="AM4:AM6"/>
    <mergeCell ref="AN4:AN6"/>
    <mergeCell ref="AO4:AO6"/>
    <mergeCell ref="AP4:AP6"/>
    <mergeCell ref="AQ4:AQ6"/>
    <mergeCell ref="AH4:AH6"/>
    <mergeCell ref="AI4:AI6"/>
    <mergeCell ref="AJ4:AJ6"/>
    <mergeCell ref="AK4:AK6"/>
    <mergeCell ref="AL4:AL6"/>
    <mergeCell ref="AC4:AC6"/>
    <mergeCell ref="AD4:AD6"/>
    <mergeCell ref="AE4:AE6"/>
    <mergeCell ref="AF4:AF6"/>
    <mergeCell ref="AG4:AG6"/>
    <mergeCell ref="AB22:AB24"/>
    <mergeCell ref="A25:B25"/>
    <mergeCell ref="A26:B26"/>
    <mergeCell ref="A46:B46"/>
    <mergeCell ref="T22:T24"/>
    <mergeCell ref="Z22:Z24"/>
    <mergeCell ref="AA22:AA24"/>
    <mergeCell ref="C22:C24"/>
    <mergeCell ref="D22:D24"/>
    <mergeCell ref="A8:B8"/>
    <mergeCell ref="A7:B7"/>
    <mergeCell ref="A15:B15"/>
    <mergeCell ref="A22:A24"/>
    <mergeCell ref="B22:B24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Y22"/>
  <sheetViews>
    <sheetView tabSelected="1" zoomScale="80" zoomScaleNormal="80" zoomScaleSheetLayoutView="115" workbookViewId="0">
      <selection activeCell="N19" sqref="N19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9" width="15.1640625" style="1" customWidth="1"/>
    <col min="10" max="10" width="21.6640625" style="1" customWidth="1"/>
    <col min="11" max="11" width="15.1640625" style="1" customWidth="1"/>
    <col min="12" max="13" width="18.6640625" style="1" customWidth="1"/>
    <col min="14" max="14" width="21.33203125" style="1" customWidth="1"/>
    <col min="15" max="17" width="16.33203125" style="1" hidden="1" customWidth="1"/>
    <col min="18" max="18" width="13.6640625" style="1" hidden="1" customWidth="1"/>
    <col min="19" max="19" width="14" style="1" hidden="1" customWidth="1"/>
    <col min="20" max="21" width="14.33203125" style="1" hidden="1" customWidth="1"/>
    <col min="22" max="22" width="1.5" style="1" customWidth="1"/>
    <col min="23" max="23" width="22.5" style="1" customWidth="1"/>
    <col min="24" max="24" width="17.6640625" style="1" customWidth="1"/>
    <col min="25" max="25" width="19.6640625" style="1" customWidth="1"/>
    <col min="26" max="26" width="25.5" style="1" customWidth="1"/>
    <col min="27" max="16384" width="8.83203125" style="1"/>
  </cols>
  <sheetData>
    <row r="1" spans="1:25" s="81" customFormat="1" ht="18.75" x14ac:dyDescent="0.3">
      <c r="A1" s="78"/>
      <c r="B1" s="79"/>
      <c r="C1" s="80"/>
      <c r="R1" s="82"/>
      <c r="V1" s="83"/>
      <c r="W1" s="239"/>
      <c r="X1" s="239"/>
      <c r="Y1" s="239"/>
    </row>
    <row r="2" spans="1:25" s="81" customFormat="1" ht="31.5" customHeight="1" x14ac:dyDescent="0.35">
      <c r="A2" s="198">
        <f ca="1">NOW()</f>
        <v>45609.758501620374</v>
      </c>
      <c r="B2" s="198"/>
      <c r="C2" s="107" t="s">
        <v>94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87">
        <v>7500</v>
      </c>
      <c r="R2" s="85"/>
      <c r="S2" s="89"/>
      <c r="T2" s="88"/>
      <c r="U2" s="88"/>
      <c r="V2" s="84"/>
      <c r="W2" s="84"/>
      <c r="X2" s="84"/>
      <c r="Y2" s="84"/>
    </row>
    <row r="3" spans="1:25" s="81" customFormat="1" ht="17.649999999999999" customHeight="1" x14ac:dyDescent="0.35">
      <c r="A3" s="171"/>
      <c r="B3" s="171"/>
      <c r="C3" s="107" t="s">
        <v>169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85"/>
      <c r="O3" s="85"/>
      <c r="P3" s="85"/>
      <c r="Q3" s="85"/>
      <c r="R3" s="85"/>
      <c r="S3" s="89"/>
      <c r="T3" s="88"/>
      <c r="U3" s="88"/>
      <c r="V3" s="84"/>
      <c r="W3" s="84"/>
      <c r="X3" s="84"/>
      <c r="Y3" s="84"/>
    </row>
    <row r="4" spans="1:25" s="81" customFormat="1" ht="17.649999999999999" customHeight="1" x14ac:dyDescent="0.35">
      <c r="A4" s="171"/>
      <c r="B4" s="171"/>
      <c r="C4" s="107" t="s">
        <v>95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85"/>
      <c r="O4" s="85"/>
      <c r="P4" s="85"/>
      <c r="Q4" s="85"/>
      <c r="R4" s="85"/>
      <c r="S4" s="89"/>
      <c r="T4" s="88"/>
      <c r="U4" s="88"/>
      <c r="V4" s="84"/>
      <c r="W4" s="84"/>
      <c r="X4" s="84"/>
      <c r="Y4" s="84"/>
    </row>
    <row r="5" spans="1:25" s="81" customFormat="1" ht="17.649999999999999" customHeight="1" x14ac:dyDescent="0.35">
      <c r="A5" s="171"/>
      <c r="B5" s="171"/>
      <c r="C5" s="107" t="s">
        <v>141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85"/>
      <c r="O5" s="85"/>
      <c r="P5" s="85"/>
      <c r="Q5" s="85"/>
      <c r="R5" s="85"/>
      <c r="S5" s="89"/>
      <c r="T5" s="88"/>
      <c r="U5" s="88"/>
      <c r="V5" s="84"/>
      <c r="W5" s="84"/>
      <c r="X5" s="84"/>
      <c r="Y5" s="84"/>
    </row>
    <row r="6" spans="1:25" s="81" customFormat="1" ht="17.649999999999999" customHeight="1" x14ac:dyDescent="0.35">
      <c r="A6" s="2"/>
      <c r="B6" s="2"/>
      <c r="C6" s="107"/>
      <c r="D6" s="105" t="s">
        <v>174</v>
      </c>
      <c r="E6" s="105"/>
      <c r="F6" s="105"/>
      <c r="G6" s="105"/>
      <c r="H6" s="105"/>
      <c r="I6" s="105"/>
      <c r="J6" s="105"/>
      <c r="K6" s="105"/>
      <c r="L6" s="105"/>
      <c r="M6" s="105"/>
      <c r="N6" s="85"/>
      <c r="O6" s="85"/>
      <c r="P6" s="85"/>
      <c r="Q6" s="85"/>
      <c r="R6" s="85"/>
      <c r="S6" s="89"/>
      <c r="T6" s="88"/>
      <c r="U6" s="88"/>
      <c r="V6" s="84"/>
      <c r="W6" s="84"/>
      <c r="X6" s="84"/>
      <c r="Y6" s="84"/>
    </row>
    <row r="7" spans="1:25" s="81" customFormat="1" ht="15.75" customHeight="1" x14ac:dyDescent="0.25">
      <c r="A7" s="2" t="s">
        <v>7</v>
      </c>
      <c r="B7" s="2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5"/>
      <c r="N7" s="89"/>
      <c r="O7" s="84"/>
      <c r="P7" s="84"/>
      <c r="Q7" s="84"/>
      <c r="R7" s="89"/>
      <c r="S7" s="89"/>
      <c r="T7" s="89"/>
      <c r="U7" s="89"/>
      <c r="V7" s="89"/>
      <c r="W7" s="89"/>
      <c r="X7" s="89"/>
      <c r="Y7" s="84"/>
    </row>
    <row r="8" spans="1:25" s="81" customFormat="1" ht="13.15" customHeight="1" x14ac:dyDescent="0.2">
      <c r="A8" s="199" t="s">
        <v>1</v>
      </c>
      <c r="B8" s="199" t="s">
        <v>2</v>
      </c>
      <c r="C8" s="200" t="s">
        <v>86</v>
      </c>
      <c r="D8" s="199" t="s">
        <v>92</v>
      </c>
      <c r="E8" s="199" t="s">
        <v>96</v>
      </c>
      <c r="F8" s="202" t="s">
        <v>93</v>
      </c>
      <c r="G8" s="199" t="s">
        <v>187</v>
      </c>
      <c r="H8" s="199" t="s">
        <v>156</v>
      </c>
      <c r="I8" s="199" t="s">
        <v>155</v>
      </c>
      <c r="J8" s="219" t="s">
        <v>168</v>
      </c>
      <c r="K8" s="199" t="s">
        <v>175</v>
      </c>
      <c r="L8" s="202" t="s">
        <v>87</v>
      </c>
      <c r="M8" s="202" t="s">
        <v>167</v>
      </c>
      <c r="N8" s="237" t="s">
        <v>170</v>
      </c>
    </row>
    <row r="9" spans="1:25" s="81" customFormat="1" ht="13.15" customHeight="1" x14ac:dyDescent="0.2">
      <c r="A9" s="199"/>
      <c r="B9" s="199"/>
      <c r="C9" s="200"/>
      <c r="D9" s="199"/>
      <c r="E9" s="199"/>
      <c r="F9" s="202"/>
      <c r="G9" s="199"/>
      <c r="H9" s="199"/>
      <c r="I9" s="199"/>
      <c r="J9" s="220"/>
      <c r="K9" s="199"/>
      <c r="L9" s="202"/>
      <c r="M9" s="202"/>
      <c r="N9" s="238"/>
    </row>
    <row r="10" spans="1:25" s="81" customFormat="1" ht="100.5" customHeight="1" x14ac:dyDescent="0.2">
      <c r="A10" s="199"/>
      <c r="B10" s="199"/>
      <c r="C10" s="200"/>
      <c r="D10" s="199"/>
      <c r="E10" s="199"/>
      <c r="F10" s="202"/>
      <c r="G10" s="199"/>
      <c r="H10" s="199"/>
      <c r="I10" s="199"/>
      <c r="J10" s="221"/>
      <c r="K10" s="199"/>
      <c r="L10" s="202"/>
      <c r="M10" s="202"/>
      <c r="N10" s="203"/>
      <c r="U10" s="90" t="s">
        <v>164</v>
      </c>
      <c r="V10" s="158">
        <v>2020</v>
      </c>
    </row>
    <row r="11" spans="1:25" s="90" customFormat="1" ht="27" customHeight="1" x14ac:dyDescent="0.2">
      <c r="A11" s="204" t="s">
        <v>33</v>
      </c>
      <c r="B11" s="205"/>
      <c r="C11" s="21">
        <v>1</v>
      </c>
      <c r="D11" s="21">
        <v>2</v>
      </c>
      <c r="E11" s="21">
        <v>3</v>
      </c>
      <c r="F11" s="115" t="s">
        <v>97</v>
      </c>
      <c r="G11" s="21">
        <v>5</v>
      </c>
      <c r="H11" s="21">
        <v>6</v>
      </c>
      <c r="I11" s="21">
        <v>7</v>
      </c>
      <c r="J11" s="21" t="s">
        <v>163</v>
      </c>
      <c r="K11" s="21">
        <v>8</v>
      </c>
      <c r="L11" s="115" t="s">
        <v>98</v>
      </c>
      <c r="M11" s="172" t="s">
        <v>166</v>
      </c>
      <c r="N11" s="172" t="s">
        <v>140</v>
      </c>
      <c r="P11" s="150">
        <v>2019</v>
      </c>
      <c r="Q11" s="150">
        <v>2018</v>
      </c>
      <c r="R11" s="150">
        <v>2019</v>
      </c>
      <c r="S11" s="150" t="s">
        <v>161</v>
      </c>
      <c r="T11" s="150" t="s">
        <v>162</v>
      </c>
      <c r="U11" s="161"/>
    </row>
    <row r="12" spans="1:25" s="81" customFormat="1" ht="16.5" customHeight="1" x14ac:dyDescent="0.2">
      <c r="A12" s="206"/>
      <c r="B12" s="207"/>
      <c r="C12" s="21"/>
      <c r="D12" s="116"/>
      <c r="E12" s="116"/>
      <c r="F12" s="117"/>
      <c r="G12" s="185"/>
      <c r="H12" s="116"/>
      <c r="I12" s="116"/>
      <c r="J12" s="116"/>
      <c r="K12" s="116"/>
      <c r="L12" s="117"/>
      <c r="M12" s="117"/>
      <c r="N12" s="98">
        <f>N2</f>
        <v>7500</v>
      </c>
      <c r="P12" s="151" t="s">
        <v>160</v>
      </c>
      <c r="Q12" s="151" t="s">
        <v>160</v>
      </c>
      <c r="R12" s="151" t="s">
        <v>159</v>
      </c>
      <c r="S12" s="151" t="s">
        <v>157</v>
      </c>
      <c r="T12" s="151" t="s">
        <v>158</v>
      </c>
      <c r="U12" s="162"/>
      <c r="V12" s="159"/>
    </row>
    <row r="13" spans="1:25" s="7" customFormat="1" ht="18" customHeight="1" x14ac:dyDescent="0.3">
      <c r="A13" s="101">
        <v>1</v>
      </c>
      <c r="B13" s="18" t="s">
        <v>142</v>
      </c>
      <c r="C13" s="196">
        <v>6208.3</v>
      </c>
      <c r="D13" s="167">
        <v>335.3</v>
      </c>
      <c r="E13" s="167"/>
      <c r="F13" s="170">
        <f t="shared" ref="F13:F18" si="0">SUM(C13:E13)</f>
        <v>6543.6</v>
      </c>
      <c r="G13" s="167">
        <v>2256.3000000000002</v>
      </c>
      <c r="H13" s="167">
        <v>5610</v>
      </c>
      <c r="I13" s="167">
        <v>895.9</v>
      </c>
      <c r="J13" s="167">
        <v>72.5</v>
      </c>
      <c r="K13" s="164">
        <v>46.9</v>
      </c>
      <c r="L13" s="168">
        <f t="shared" ref="L13:L18" si="1">SUM(G13:K13)</f>
        <v>8881.6</v>
      </c>
      <c r="M13" s="168">
        <f t="shared" ref="M13:M18" si="2">IF(F13&lt;L13,L13-F13,0)</f>
        <v>2338</v>
      </c>
      <c r="N13" s="168">
        <f>ROUND(M13/$M$19*$N$12,2)</f>
        <v>1964.23</v>
      </c>
      <c r="O13" s="149">
        <f t="shared" ref="O13:O19" si="3">F13+N13</f>
        <v>8507.83</v>
      </c>
      <c r="P13" s="152">
        <f t="shared" ref="P13:P18" si="4">D13+E13+N13</f>
        <v>2299.5300000000002</v>
      </c>
      <c r="Q13" s="152">
        <v>1141</v>
      </c>
      <c r="R13" s="152">
        <f t="shared" ref="R13:R19" si="5">C13+D13+E13+N13</f>
        <v>8507.83</v>
      </c>
      <c r="S13" s="153">
        <v>5812</v>
      </c>
      <c r="T13" s="153">
        <v>4525</v>
      </c>
      <c r="U13" s="163">
        <f t="shared" ref="U13:U19" si="6">N13+D13</f>
        <v>2299.5300000000002</v>
      </c>
      <c r="V13" s="160">
        <v>368</v>
      </c>
    </row>
    <row r="14" spans="1:25" s="7" customFormat="1" ht="18.75" x14ac:dyDescent="0.3">
      <c r="A14" s="102">
        <v>2</v>
      </c>
      <c r="B14" s="18" t="s">
        <v>165</v>
      </c>
      <c r="C14" s="196">
        <v>15065.6</v>
      </c>
      <c r="D14" s="167">
        <v>0</v>
      </c>
      <c r="E14" s="167"/>
      <c r="F14" s="170">
        <f t="shared" si="0"/>
        <v>15065.6</v>
      </c>
      <c r="G14" s="167">
        <v>0</v>
      </c>
      <c r="H14" s="167">
        <v>783.3</v>
      </c>
      <c r="I14" s="167">
        <v>1621.1</v>
      </c>
      <c r="J14" s="167">
        <v>180.8</v>
      </c>
      <c r="K14" s="164">
        <v>82.7</v>
      </c>
      <c r="L14" s="168">
        <f t="shared" si="1"/>
        <v>2667.8999999999996</v>
      </c>
      <c r="M14" s="168">
        <f t="shared" si="2"/>
        <v>0</v>
      </c>
      <c r="N14" s="168">
        <f>ROUND(M14/$M$19*$N$12,0)</f>
        <v>0</v>
      </c>
      <c r="O14" s="149">
        <f t="shared" si="3"/>
        <v>15065.6</v>
      </c>
      <c r="P14" s="152">
        <f t="shared" si="4"/>
        <v>0</v>
      </c>
      <c r="Q14" s="152">
        <v>0</v>
      </c>
      <c r="R14" s="152">
        <f t="shared" si="5"/>
        <v>15065.6</v>
      </c>
      <c r="S14" s="153"/>
      <c r="T14" s="153"/>
      <c r="U14" s="163">
        <f t="shared" si="6"/>
        <v>0</v>
      </c>
      <c r="V14" s="160">
        <v>0</v>
      </c>
    </row>
    <row r="15" spans="1:25" s="7" customFormat="1" ht="16.5" customHeight="1" x14ac:dyDescent="0.3">
      <c r="A15" s="102">
        <v>3</v>
      </c>
      <c r="B15" s="18" t="s">
        <v>144</v>
      </c>
      <c r="C15" s="196">
        <v>552</v>
      </c>
      <c r="D15" s="167">
        <v>41.4</v>
      </c>
      <c r="E15" s="167"/>
      <c r="F15" s="170">
        <f t="shared" si="0"/>
        <v>593.4</v>
      </c>
      <c r="G15" s="167">
        <v>1877.6</v>
      </c>
      <c r="H15" s="167">
        <v>84.8</v>
      </c>
      <c r="I15" s="167">
        <v>28</v>
      </c>
      <c r="J15" s="167">
        <v>29.2</v>
      </c>
      <c r="K15" s="164">
        <v>86.9</v>
      </c>
      <c r="L15" s="168">
        <f t="shared" si="1"/>
        <v>2106.5</v>
      </c>
      <c r="M15" s="168">
        <f t="shared" si="2"/>
        <v>1513.1</v>
      </c>
      <c r="N15" s="168">
        <f>ROUND(M15/$M$19*$N$12,2)</f>
        <v>1271.2</v>
      </c>
      <c r="O15" s="149">
        <f t="shared" si="3"/>
        <v>1864.6</v>
      </c>
      <c r="P15" s="152">
        <f t="shared" si="4"/>
        <v>1312.6000000000001</v>
      </c>
      <c r="Q15" s="152">
        <v>521.89700000000005</v>
      </c>
      <c r="R15" s="152">
        <f t="shared" si="5"/>
        <v>1864.6</v>
      </c>
      <c r="S15" s="153">
        <v>2700</v>
      </c>
      <c r="T15" s="153">
        <v>1823</v>
      </c>
      <c r="U15" s="163">
        <f t="shared" si="6"/>
        <v>1312.6000000000001</v>
      </c>
      <c r="V15" s="160">
        <v>462</v>
      </c>
    </row>
    <row r="16" spans="1:25" s="7" customFormat="1" ht="16.5" customHeight="1" x14ac:dyDescent="0.3">
      <c r="A16" s="101">
        <v>4</v>
      </c>
      <c r="B16" s="18" t="s">
        <v>145</v>
      </c>
      <c r="C16" s="196">
        <v>731.3</v>
      </c>
      <c r="D16" s="167">
        <v>102.4</v>
      </c>
      <c r="E16" s="167"/>
      <c r="F16" s="170">
        <f t="shared" si="0"/>
        <v>833.69999999999993</v>
      </c>
      <c r="G16" s="167">
        <v>1786.99</v>
      </c>
      <c r="H16" s="167">
        <v>595.6</v>
      </c>
      <c r="I16" s="167">
        <v>94.3</v>
      </c>
      <c r="J16" s="167">
        <v>0</v>
      </c>
      <c r="K16" s="164">
        <v>150</v>
      </c>
      <c r="L16" s="168">
        <f t="shared" si="1"/>
        <v>2626.8900000000003</v>
      </c>
      <c r="M16" s="168">
        <f t="shared" si="2"/>
        <v>1793.1900000000005</v>
      </c>
      <c r="N16" s="168">
        <f>ROUND(M16/$M$19*$N$12,2)</f>
        <v>1506.51</v>
      </c>
      <c r="O16" s="149">
        <f t="shared" si="3"/>
        <v>2340.21</v>
      </c>
      <c r="P16" s="152">
        <f t="shared" si="4"/>
        <v>1608.91</v>
      </c>
      <c r="Q16" s="152">
        <v>859</v>
      </c>
      <c r="R16" s="152">
        <f t="shared" si="5"/>
        <v>2340.21</v>
      </c>
      <c r="S16" s="153">
        <v>2100</v>
      </c>
      <c r="T16" s="153">
        <v>2056</v>
      </c>
      <c r="U16" s="163">
        <f t="shared" si="6"/>
        <v>1608.91</v>
      </c>
      <c r="V16" s="160">
        <v>762</v>
      </c>
    </row>
    <row r="17" spans="1:25" s="7" customFormat="1" ht="16.5" customHeight="1" x14ac:dyDescent="0.3">
      <c r="A17" s="102">
        <v>5</v>
      </c>
      <c r="B17" s="18" t="s">
        <v>146</v>
      </c>
      <c r="C17" s="196">
        <v>864</v>
      </c>
      <c r="D17" s="167">
        <v>125.2</v>
      </c>
      <c r="E17" s="167"/>
      <c r="F17" s="170">
        <f t="shared" si="0"/>
        <v>989.2</v>
      </c>
      <c r="G17" s="167">
        <v>2160.8000000000002</v>
      </c>
      <c r="H17" s="167">
        <v>550</v>
      </c>
      <c r="I17" s="167">
        <v>149.9</v>
      </c>
      <c r="J17" s="167">
        <v>66.599999999999994</v>
      </c>
      <c r="K17" s="164">
        <v>140.80000000000001</v>
      </c>
      <c r="L17" s="168">
        <f t="shared" si="1"/>
        <v>3068.1000000000004</v>
      </c>
      <c r="M17" s="168">
        <f t="shared" si="2"/>
        <v>2078.9000000000005</v>
      </c>
      <c r="N17" s="168">
        <f>ROUND(M17/$M$19*$N$12,2)</f>
        <v>1746.55</v>
      </c>
      <c r="O17" s="149">
        <f t="shared" si="3"/>
        <v>2735.75</v>
      </c>
      <c r="P17" s="152">
        <f t="shared" si="4"/>
        <v>1871.75</v>
      </c>
      <c r="Q17" s="152">
        <v>1402.1</v>
      </c>
      <c r="R17" s="152">
        <f t="shared" si="5"/>
        <v>2735.75</v>
      </c>
      <c r="S17" s="153">
        <v>2868</v>
      </c>
      <c r="T17" s="153">
        <v>2224</v>
      </c>
      <c r="U17" s="163">
        <f t="shared" si="6"/>
        <v>1871.75</v>
      </c>
      <c r="V17" s="160">
        <v>1316</v>
      </c>
    </row>
    <row r="18" spans="1:25" s="7" customFormat="1" ht="16.5" customHeight="1" x14ac:dyDescent="0.3">
      <c r="A18" s="102">
        <v>6</v>
      </c>
      <c r="B18" s="18" t="s">
        <v>147</v>
      </c>
      <c r="C18" s="196">
        <v>807.8</v>
      </c>
      <c r="D18" s="167">
        <v>62.9</v>
      </c>
      <c r="E18" s="167"/>
      <c r="F18" s="170">
        <f t="shared" si="0"/>
        <v>870.69999999999993</v>
      </c>
      <c r="G18" s="167">
        <v>1786.99</v>
      </c>
      <c r="H18" s="167">
        <v>123.1</v>
      </c>
      <c r="I18" s="167">
        <v>109.9</v>
      </c>
      <c r="J18" s="167"/>
      <c r="K18" s="164">
        <v>54.7</v>
      </c>
      <c r="L18" s="168">
        <f t="shared" si="1"/>
        <v>2074.69</v>
      </c>
      <c r="M18" s="168">
        <f t="shared" si="2"/>
        <v>1203.9900000000002</v>
      </c>
      <c r="N18" s="168">
        <f>ROUND(M18/$M$19*$N$12,2)</f>
        <v>1011.51</v>
      </c>
      <c r="O18" s="149">
        <f t="shared" si="3"/>
        <v>1882.21</v>
      </c>
      <c r="P18" s="152">
        <f t="shared" si="4"/>
        <v>1074.4100000000001</v>
      </c>
      <c r="Q18" s="152">
        <v>821</v>
      </c>
      <c r="R18" s="152">
        <f t="shared" si="5"/>
        <v>1882.21</v>
      </c>
      <c r="S18" s="153">
        <v>2600</v>
      </c>
      <c r="T18" s="153">
        <v>1600</v>
      </c>
      <c r="U18" s="163">
        <f t="shared" si="6"/>
        <v>1074.4100000000001</v>
      </c>
      <c r="V18" s="160">
        <v>600</v>
      </c>
    </row>
    <row r="19" spans="1:25" s="7" customFormat="1" ht="18.75" x14ac:dyDescent="0.3">
      <c r="A19" s="201" t="s">
        <v>0</v>
      </c>
      <c r="B19" s="201"/>
      <c r="C19" s="114">
        <f>SUM(C13:C18)</f>
        <v>24229</v>
      </c>
      <c r="D19" s="114">
        <f>SUM(D13:D18)</f>
        <v>667.2</v>
      </c>
      <c r="E19" s="114">
        <f>E13+E14+E15+E16+E17+E18</f>
        <v>0</v>
      </c>
      <c r="F19" s="114">
        <f t="shared" ref="F19:N19" si="7">SUM(F13:F18)</f>
        <v>24896.200000000004</v>
      </c>
      <c r="G19" s="114">
        <f t="shared" si="7"/>
        <v>9868.68</v>
      </c>
      <c r="H19" s="114">
        <f t="shared" si="7"/>
        <v>7746.8000000000011</v>
      </c>
      <c r="I19" s="114">
        <f t="shared" si="7"/>
        <v>2899.1000000000004</v>
      </c>
      <c r="J19" s="114">
        <f t="shared" si="7"/>
        <v>349.1</v>
      </c>
      <c r="K19" s="114">
        <f t="shared" si="7"/>
        <v>562</v>
      </c>
      <c r="L19" s="109">
        <f t="shared" si="7"/>
        <v>21425.679999999997</v>
      </c>
      <c r="M19" s="109">
        <f t="shared" si="7"/>
        <v>8927.1800000000021</v>
      </c>
      <c r="N19" s="109">
        <f t="shared" si="7"/>
        <v>7500.0000000000009</v>
      </c>
      <c r="O19" s="149">
        <f t="shared" si="3"/>
        <v>32396.200000000004</v>
      </c>
      <c r="P19" s="152">
        <f>SUM(P13:P18)</f>
        <v>8167.2</v>
      </c>
      <c r="Q19" s="152">
        <f>SUM(Q13:Q18)</f>
        <v>4744.9969999999994</v>
      </c>
      <c r="R19" s="152">
        <f t="shared" si="5"/>
        <v>32396.2</v>
      </c>
      <c r="S19" s="153"/>
      <c r="T19" s="153"/>
      <c r="U19" s="163">
        <f t="shared" si="6"/>
        <v>8167.2000000000007</v>
      </c>
      <c r="V19" s="160">
        <v>3508</v>
      </c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2"/>
      <c r="P20" s="12"/>
      <c r="Q20" s="12"/>
      <c r="R20" s="7"/>
      <c r="S20" s="7"/>
      <c r="T20" s="7"/>
      <c r="U20" s="7"/>
      <c r="V20" s="7"/>
      <c r="W20" s="12"/>
      <c r="X20" s="12"/>
      <c r="Y20" s="7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11"/>
      <c r="T21" s="7"/>
      <c r="U21" s="7"/>
      <c r="V21" s="7"/>
      <c r="W21" s="7"/>
      <c r="X21" s="7"/>
      <c r="Y21" s="7"/>
    </row>
    <row r="22" spans="1:25" ht="12.75" customHeight="1" x14ac:dyDescent="0.2"/>
  </sheetData>
  <mergeCells count="19">
    <mergeCell ref="W1:Y1"/>
    <mergeCell ref="A2:B2"/>
    <mergeCell ref="A8:A10"/>
    <mergeCell ref="B8:B10"/>
    <mergeCell ref="C8:C10"/>
    <mergeCell ref="D8:D10"/>
    <mergeCell ref="L8:L10"/>
    <mergeCell ref="I8:I10"/>
    <mergeCell ref="K8:K10"/>
    <mergeCell ref="M8:M10"/>
    <mergeCell ref="J8:J10"/>
    <mergeCell ref="A11:B11"/>
    <mergeCell ref="A12:B12"/>
    <mergeCell ref="N8:N10"/>
    <mergeCell ref="A19:B19"/>
    <mergeCell ref="F8:F10"/>
    <mergeCell ref="G8:G10"/>
    <mergeCell ref="H8:H10"/>
    <mergeCell ref="E8:E10"/>
  </mergeCells>
  <pageMargins left="0.5" right="0.15748031496062992" top="1.1200000000000001" bottom="0.11811023622047245" header="0.31496062992125984" footer="0.15748031496062992"/>
  <pageSetup paperSize="9" scale="56" fitToHeight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Регион ФФПП 2025</vt:lpstr>
      <vt:lpstr>ИНП2025</vt:lpstr>
      <vt:lpstr>ИБР2025</vt:lpstr>
      <vt:lpstr>Район сбалансир 2025</vt:lpstr>
      <vt:lpstr>ИБР2025!Заголовки_для_печати</vt:lpstr>
      <vt:lpstr>ИНП2025!Заголовки_для_печати</vt:lpstr>
      <vt:lpstr>'Район сбалансир 2025'!Заголовки_для_печати</vt:lpstr>
      <vt:lpstr>'Регион ФФПП 2025'!Заголовки_для_печати</vt:lpstr>
      <vt:lpstr>ИНП2025!Область_печати</vt:lpstr>
      <vt:lpstr>'Район сбалансир 2025'!Область_печати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2024-11-13T15:14:00Z</cp:lastPrinted>
  <dcterms:created xsi:type="dcterms:W3CDTF">1996-11-09T08:12:45Z</dcterms:created>
  <dcterms:modified xsi:type="dcterms:W3CDTF">2024-11-13T15:14:44Z</dcterms:modified>
</cp:coreProperties>
</file>